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/>
  <mc:AlternateContent xmlns:mc="http://schemas.openxmlformats.org/markup-compatibility/2006">
    <mc:Choice Requires="x15">
      <x15ac:absPath xmlns:x15ac="http://schemas.microsoft.com/office/spreadsheetml/2010/11/ac" url="G:\00 Finn\Marketing 2023\Example packages\Site\"/>
    </mc:Choice>
  </mc:AlternateContent>
  <xr:revisionPtr revIDLastSave="0" documentId="13_ncr:1_{3E67F903-CB9B-4F2B-8922-CADC29F3D05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ite Schedule" sheetId="12" r:id="rId1"/>
    <sheet name="Job Summary" sheetId="5" r:id="rId2"/>
    <sheet name="Site Summary" sheetId="10" r:id="rId3"/>
    <sheet name="Site Dimensions" sheetId="13" r:id="rId4"/>
    <sheet name="ALN-END-Main Roof" sheetId="15" r:id="rId5"/>
    <sheet name="ALN-END-Porch (Lean to)" sheetId="16" r:id="rId6"/>
    <sheet name="ALN-MID-Main Roof" sheetId="17" r:id="rId7"/>
    <sheet name="ALN-MID-Porch (Lean to)" sheetId="18" r:id="rId8"/>
    <sheet name="CHE-Main Roof" sheetId="19" r:id="rId9"/>
    <sheet name="CHE-Porch (Gable)" sheetId="20" r:id="rId10"/>
    <sheet name="CLN-Main Roof" sheetId="21" r:id="rId11"/>
    <sheet name="CLN-Porch (Gable)" sheetId="22" r:id="rId12"/>
    <sheet name="CLY-Main Roof" sheetId="23" r:id="rId13"/>
    <sheet name="CLY-Porch (Gable)" sheetId="24" r:id="rId14"/>
    <sheet name="HNB-END-Main Roof" sheetId="25" r:id="rId15"/>
    <sheet name="HNB-END-Porch (Lean to)" sheetId="26" r:id="rId16"/>
    <sheet name="HNB-MID-Main Roof" sheetId="27" r:id="rId17"/>
    <sheet name="HNB-MID-Porch (Lean to)" sheetId="28" r:id="rId18"/>
    <sheet name="HNB-SMI-Main Roof" sheetId="29" r:id="rId19"/>
    <sheet name="HNB-SMI-Porch (Lean to)" sheetId="30" r:id="rId20"/>
    <sheet name="HNB-SMI-Porch (Lean to)(1)" sheetId="31" r:id="rId21"/>
    <sheet name="HTF-Main Roof" sheetId="32" r:id="rId22"/>
    <sheet name="HTF-Porch (Lean to)" sheetId="33" r:id="rId23"/>
    <sheet name="KND-Main Roof" sheetId="34" r:id="rId24"/>
    <sheet name="KND-Porch (Lean to)" sheetId="35" r:id="rId25"/>
    <sheet name="MSL-END-Main Roof" sheetId="36" r:id="rId26"/>
    <sheet name="MSL-END-Porch (Lean to)" sheetId="37" r:id="rId27"/>
    <sheet name="MSL-MID-Main Roof" sheetId="38" r:id="rId28"/>
    <sheet name="MSL-MID-Porch (Lean to)" sheetId="39" r:id="rId29"/>
    <sheet name="MSL-SMI-Main Roof" sheetId="40" r:id="rId30"/>
    <sheet name="MSL-SMI-Porch (Lean to)" sheetId="41" r:id="rId31"/>
    <sheet name="MSL-SMI-Porch (Lean to)(1)" sheetId="42" r:id="rId32"/>
    <sheet name="ROS-Main Roof" sheetId="43" r:id="rId33"/>
    <sheet name="ROS-Porch (Gable)" sheetId="44" r:id="rId34"/>
    <sheet name="ROS-Lower Level" sheetId="45" r:id="rId35"/>
    <sheet name="RUF-DET-Main Roof" sheetId="46" r:id="rId36"/>
    <sheet name="RUF-DET-Lower Level" sheetId="47" r:id="rId37"/>
    <sheet name="RUF-SMI-Main Roof" sheetId="48" r:id="rId38"/>
    <sheet name="RUF-SMI-Lower Level" sheetId="49" r:id="rId39"/>
    <sheet name="RUF-SMI-Lower Level(1)" sheetId="50" r:id="rId40"/>
    <sheet name="SOU-END-Main Roof" sheetId="51" r:id="rId41"/>
    <sheet name="SOU-END-Porch (Lean to)" sheetId="52" r:id="rId42"/>
    <sheet name="SOU-MID-Main Roof" sheetId="53" r:id="rId43"/>
    <sheet name="SOU-MID-Porch (Lean to)" sheetId="54" r:id="rId44"/>
    <sheet name="SOU-SMI-Main Roof" sheetId="55" r:id="rId45"/>
    <sheet name="SOU-SMI-Porch (Lean to)" sheetId="56" r:id="rId46"/>
    <sheet name="TIV-Main Roof" sheetId="57" r:id="rId47"/>
    <sheet name="TIV-Porch (Gable)" sheetId="58" r:id="rId48"/>
    <sheet name="WIN-Main Roof" sheetId="59" r:id="rId49"/>
    <sheet name="WIN-Porch (Gable)" sheetId="60" r:id="rId50"/>
    <sheet name="Z-GDBL6.7-Garage" sheetId="61" r:id="rId51"/>
    <sheet name="Z-GDBLHIP-Garage" sheetId="62" r:id="rId52"/>
    <sheet name="Z-GDBLPYR-Garage" sheetId="63" r:id="rId53"/>
    <sheet name="Z-GSNG3.5-Garage" sheetId="64" r:id="rId54"/>
    <sheet name="Z-GTWN6.7-Garage" sheetId="65" r:id="rId55"/>
    <sheet name="Z-GTWNPYR-Garage" sheetId="66" r:id="rId56"/>
  </sheets>
  <definedNames>
    <definedName name="_xlnm._FilterDatabase" localSheetId="3" hidden="1">'Site Dimensions'!$A$9:$U$9</definedName>
    <definedName name="AbutCourses" localSheetId="9">'CHE-Porch (Gable)'!$B$14</definedName>
    <definedName name="AbutCourses" localSheetId="11">'CLN-Porch (Gable)'!$B$14</definedName>
    <definedName name="AbutCourses" localSheetId="13">'CLY-Porch (Gable)'!$B$14</definedName>
    <definedName name="AbutCourses" localSheetId="22">'HTF-Porch (Lean to)'!$B$14</definedName>
    <definedName name="AbutCourses" localSheetId="24">'KND-Porch (Lean to)'!$B$14</definedName>
    <definedName name="AbutCourses" localSheetId="34">'ROS-Lower Level'!$B$14</definedName>
    <definedName name="AbutCourses" localSheetId="33">'ROS-Porch (Gable)'!$B$14</definedName>
    <definedName name="AbutCourses" localSheetId="40">'SOU-END-Main Roof'!$B$16</definedName>
    <definedName name="AbutCourses" localSheetId="42">'SOU-MID-Main Roof'!$B$16</definedName>
    <definedName name="AbutCourses" localSheetId="44">'SOU-SMI-Main Roof'!$B$16</definedName>
    <definedName name="AbutCourses" localSheetId="47">'TIV-Porch (Gable)'!$B$14</definedName>
    <definedName name="AbutCourses" localSheetId="49">'WIN-Porch (Gable)'!$B$14</definedName>
    <definedName name="Area" localSheetId="4">'ALN-END-Main Roof'!$B$9</definedName>
    <definedName name="Area" localSheetId="5">'ALN-END-Porch (Lean to)'!$B$9</definedName>
    <definedName name="Area" localSheetId="6">'ALN-MID-Main Roof'!$B$9</definedName>
    <definedName name="Area" localSheetId="7">'ALN-MID-Porch (Lean to)'!$B$9</definedName>
    <definedName name="Area" localSheetId="8">'CHE-Main Roof'!$B$9</definedName>
    <definedName name="Area" localSheetId="9">'CHE-Porch (Gable)'!$B$9</definedName>
    <definedName name="Area" localSheetId="10">'CLN-Main Roof'!$B$9</definedName>
    <definedName name="Area" localSheetId="11">'CLN-Porch (Gable)'!$B$9</definedName>
    <definedName name="Area" localSheetId="12">'CLY-Main Roof'!$B$9</definedName>
    <definedName name="Area" localSheetId="13">'CLY-Porch (Gable)'!$B$9</definedName>
    <definedName name="Area" localSheetId="14">'HNB-END-Main Roof'!$B$9</definedName>
    <definedName name="Area" localSheetId="15">'HNB-END-Porch (Lean to)'!$B$9</definedName>
    <definedName name="Area" localSheetId="16">'HNB-MID-Main Roof'!$B$9</definedName>
    <definedName name="Area" localSheetId="17">'HNB-MID-Porch (Lean to)'!$B$9</definedName>
    <definedName name="Area" localSheetId="18">'HNB-SMI-Main Roof'!$B$9</definedName>
    <definedName name="Area" localSheetId="19">'HNB-SMI-Porch (Lean to)'!$B$9</definedName>
    <definedName name="Area" localSheetId="20">'HNB-SMI-Porch (Lean to)(1)'!$B$9</definedName>
    <definedName name="Area" localSheetId="21">'HTF-Main Roof'!$B$9</definedName>
    <definedName name="Area" localSheetId="22">'HTF-Porch (Lean to)'!$B$9</definedName>
    <definedName name="Area" localSheetId="23">'KND-Main Roof'!$B$9</definedName>
    <definedName name="Area" localSheetId="24">'KND-Porch (Lean to)'!$B$9</definedName>
    <definedName name="Area" localSheetId="25">'MSL-END-Main Roof'!$B$9</definedName>
    <definedName name="Area" localSheetId="26">'MSL-END-Porch (Lean to)'!$B$9</definedName>
    <definedName name="Area" localSheetId="27">'MSL-MID-Main Roof'!$B$9</definedName>
    <definedName name="Area" localSheetId="28">'MSL-MID-Porch (Lean to)'!$B$9</definedName>
    <definedName name="Area" localSheetId="29">'MSL-SMI-Main Roof'!$B$9</definedName>
    <definedName name="Area" localSheetId="30">'MSL-SMI-Porch (Lean to)'!$B$9</definedName>
    <definedName name="Area" localSheetId="31">'MSL-SMI-Porch (Lean to)(1)'!$B$9</definedName>
    <definedName name="Area" localSheetId="34">'ROS-Lower Level'!$B$9</definedName>
    <definedName name="Area" localSheetId="32">'ROS-Main Roof'!$B$9</definedName>
    <definedName name="Area" localSheetId="33">'ROS-Porch (Gable)'!$B$9</definedName>
    <definedName name="Area" localSheetId="36">'RUF-DET-Lower Level'!$B$9</definedName>
    <definedName name="Area" localSheetId="35">'RUF-DET-Main Roof'!$B$9</definedName>
    <definedName name="Area" localSheetId="38">'RUF-SMI-Lower Level'!$B$9</definedName>
    <definedName name="Area" localSheetId="39">'RUF-SMI-Lower Level(1)'!$B$9</definedName>
    <definedName name="Area" localSheetId="37">'RUF-SMI-Main Roof'!$B$9</definedName>
    <definedName name="Area" localSheetId="40">'SOU-END-Main Roof'!$B$9</definedName>
    <definedName name="Area" localSheetId="41">'SOU-END-Porch (Lean to)'!$B$9</definedName>
    <definedName name="Area" localSheetId="42">'SOU-MID-Main Roof'!$B$9</definedName>
    <definedName name="Area" localSheetId="43">'SOU-MID-Porch (Lean to)'!$B$9</definedName>
    <definedName name="Area" localSheetId="44">'SOU-SMI-Main Roof'!$B$9</definedName>
    <definedName name="Area" localSheetId="45">'SOU-SMI-Porch (Lean to)'!$B$9</definedName>
    <definedName name="Area" localSheetId="46">'TIV-Main Roof'!$B$9</definedName>
    <definedName name="Area" localSheetId="47">'TIV-Porch (Gable)'!$B$9</definedName>
    <definedName name="Area" localSheetId="48">'WIN-Main Roof'!$B$9</definedName>
    <definedName name="Area" localSheetId="49">'WIN-Porch (Gable)'!$B$9</definedName>
    <definedName name="Area" localSheetId="50">'Z-GDBL6.7-Garage'!$B$9</definedName>
    <definedName name="Area" localSheetId="51">'Z-GDBLHIP-Garage'!$B$9</definedName>
    <definedName name="Area" localSheetId="52">'Z-GDBLPYR-Garage'!$B$9</definedName>
    <definedName name="Area" localSheetId="53">'Z-GSNG3.5-Garage'!$B$9</definedName>
    <definedName name="Area" localSheetId="54">'Z-GTWN6.7-Garage'!$B$9</definedName>
    <definedName name="Area" localSheetId="55">'Z-GTWNPYR-Garage'!$B$9</definedName>
    <definedName name="CustomerName">'Job Summary'!$B$1</definedName>
    <definedName name="Dimensions" localSheetId="4">'ALN-END-Main Roof'!$A$9</definedName>
    <definedName name="Dimensions" localSheetId="5">'ALN-END-Porch (Lean to)'!$A$9</definedName>
    <definedName name="Dimensions" localSheetId="6">'ALN-MID-Main Roof'!$A$9</definedName>
    <definedName name="Dimensions" localSheetId="7">'ALN-MID-Porch (Lean to)'!$A$9</definedName>
    <definedName name="Dimensions" localSheetId="8">'CHE-Main Roof'!$A$9</definedName>
    <definedName name="Dimensions" localSheetId="9">'CHE-Porch (Gable)'!$A$9</definedName>
    <definedName name="Dimensions" localSheetId="10">'CLN-Main Roof'!$A$9</definedName>
    <definedName name="Dimensions" localSheetId="11">'CLN-Porch (Gable)'!$A$9</definedName>
    <definedName name="Dimensions" localSheetId="12">'CLY-Main Roof'!$A$9</definedName>
    <definedName name="Dimensions" localSheetId="13">'CLY-Porch (Gable)'!$A$9</definedName>
    <definedName name="Dimensions" localSheetId="14">'HNB-END-Main Roof'!$A$9</definedName>
    <definedName name="Dimensions" localSheetId="15">'HNB-END-Porch (Lean to)'!$A$9</definedName>
    <definedName name="Dimensions" localSheetId="16">'HNB-MID-Main Roof'!$A$9</definedName>
    <definedName name="Dimensions" localSheetId="17">'HNB-MID-Porch (Lean to)'!$A$9</definedName>
    <definedName name="Dimensions" localSheetId="18">'HNB-SMI-Main Roof'!$A$9</definedName>
    <definedName name="Dimensions" localSheetId="19">'HNB-SMI-Porch (Lean to)'!$A$9</definedName>
    <definedName name="Dimensions" localSheetId="20">'HNB-SMI-Porch (Lean to)(1)'!$A$9</definedName>
    <definedName name="Dimensions" localSheetId="21">'HTF-Main Roof'!$A$9</definedName>
    <definedName name="Dimensions" localSheetId="22">'HTF-Porch (Lean to)'!$A$9</definedName>
    <definedName name="Dimensions" localSheetId="23">'KND-Main Roof'!$A$9</definedName>
    <definedName name="Dimensions" localSheetId="24">'KND-Porch (Lean to)'!$A$9</definedName>
    <definedName name="Dimensions" localSheetId="25">'MSL-END-Main Roof'!$A$9</definedName>
    <definedName name="Dimensions" localSheetId="26">'MSL-END-Porch (Lean to)'!$A$9</definedName>
    <definedName name="Dimensions" localSheetId="27">'MSL-MID-Main Roof'!$A$9</definedName>
    <definedName name="Dimensions" localSheetId="28">'MSL-MID-Porch (Lean to)'!$A$9</definedName>
    <definedName name="Dimensions" localSheetId="29">'MSL-SMI-Main Roof'!$A$9</definedName>
    <definedName name="Dimensions" localSheetId="30">'MSL-SMI-Porch (Lean to)'!$A$9</definedName>
    <definedName name="Dimensions" localSheetId="31">'MSL-SMI-Porch (Lean to)(1)'!$A$9</definedName>
    <definedName name="Dimensions" localSheetId="34">'ROS-Lower Level'!$A$9</definedName>
    <definedName name="Dimensions" localSheetId="32">'ROS-Main Roof'!$A$9</definedName>
    <definedName name="Dimensions" localSheetId="33">'ROS-Porch (Gable)'!$A$9</definedName>
    <definedName name="Dimensions" localSheetId="36">'RUF-DET-Lower Level'!$A$9</definedName>
    <definedName name="Dimensions" localSheetId="35">'RUF-DET-Main Roof'!$A$9</definedName>
    <definedName name="Dimensions" localSheetId="38">'RUF-SMI-Lower Level'!$A$9</definedName>
    <definedName name="Dimensions" localSheetId="39">'RUF-SMI-Lower Level(1)'!$A$9</definedName>
    <definedName name="Dimensions" localSheetId="37">'RUF-SMI-Main Roof'!$A$9</definedName>
    <definedName name="Dimensions" localSheetId="40">'SOU-END-Main Roof'!$A$9</definedName>
    <definedName name="Dimensions" localSheetId="41">'SOU-END-Porch (Lean to)'!$A$9</definedName>
    <definedName name="Dimensions" localSheetId="42">'SOU-MID-Main Roof'!$A$9</definedName>
    <definedName name="Dimensions" localSheetId="43">'SOU-MID-Porch (Lean to)'!$A$9</definedName>
    <definedName name="Dimensions" localSheetId="44">'SOU-SMI-Main Roof'!$A$9</definedName>
    <definedName name="Dimensions" localSheetId="45">'SOU-SMI-Porch (Lean to)'!$A$9</definedName>
    <definedName name="Dimensions" localSheetId="46">'TIV-Main Roof'!$A$9</definedName>
    <definedName name="Dimensions" localSheetId="47">'TIV-Porch (Gable)'!$A$9</definedName>
    <definedName name="Dimensions" localSheetId="48">'WIN-Main Roof'!$A$9</definedName>
    <definedName name="Dimensions" localSheetId="49">'WIN-Porch (Gable)'!$A$9</definedName>
    <definedName name="Dimensions" localSheetId="50">'Z-GDBL6.7-Garage'!$A$9</definedName>
    <definedName name="Dimensions" localSheetId="51">'Z-GDBLHIP-Garage'!$A$9</definedName>
    <definedName name="Dimensions" localSheetId="52">'Z-GDBLPYR-Garage'!$A$9</definedName>
    <definedName name="Dimensions" localSheetId="53">'Z-GSNG3.5-Garage'!$A$9</definedName>
    <definedName name="Dimensions" localSheetId="54">'Z-GTWN6.7-Garage'!$A$9</definedName>
    <definedName name="Dimensions" localSheetId="55">'Z-GTWNPYR-Garage'!$A$9</definedName>
    <definedName name="Dimensions">#REF!</definedName>
    <definedName name="DuoRidge" localSheetId="4">'ALN-END-Main Roof'!$B$13</definedName>
    <definedName name="DuoRidge" localSheetId="6">'ALN-MID-Main Roof'!$B$11</definedName>
    <definedName name="DuoRidge" localSheetId="8">'CHE-Main Roof'!$B$13</definedName>
    <definedName name="DuoRidge" localSheetId="9">'CHE-Porch (Gable)'!$B$13</definedName>
    <definedName name="DuoRidge" localSheetId="10">'CLN-Main Roof'!$B$14</definedName>
    <definedName name="DuoRidge" localSheetId="11">'CLN-Porch (Gable)'!$B$13</definedName>
    <definedName name="DuoRidge" localSheetId="12">'CLY-Main Roof'!$B$13</definedName>
    <definedName name="DuoRidge" localSheetId="13">'CLY-Porch (Gable)'!$B$13</definedName>
    <definedName name="DuoRidge" localSheetId="14">'HNB-END-Main Roof'!$B$13</definedName>
    <definedName name="DuoRidge" localSheetId="16">'HNB-MID-Main Roof'!$B$11</definedName>
    <definedName name="DuoRidge" localSheetId="18">'HNB-SMI-Main Roof'!$B$13</definedName>
    <definedName name="DuoRidge" localSheetId="21">'HTF-Main Roof'!$B$14</definedName>
    <definedName name="DuoRidge" localSheetId="23">'KND-Main Roof'!$B$14</definedName>
    <definedName name="DuoRidge" localSheetId="25">'MSL-END-Main Roof'!$B$13</definedName>
    <definedName name="DuoRidge" localSheetId="27">'MSL-MID-Main Roof'!$B$11</definedName>
    <definedName name="DuoRidge" localSheetId="29">'MSL-SMI-Main Roof'!$B$13</definedName>
    <definedName name="DuoRidge" localSheetId="32">'ROS-Main Roof'!$B$14</definedName>
    <definedName name="DuoRidge" localSheetId="33">'ROS-Porch (Gable)'!$B$13</definedName>
    <definedName name="DuoRidge" localSheetId="35">'RUF-DET-Main Roof'!$B$13</definedName>
    <definedName name="DuoRidge" localSheetId="37">'RUF-SMI-Main Roof'!$B$13</definedName>
    <definedName name="DuoRidge" localSheetId="40">'SOU-END-Main Roof'!$B$15</definedName>
    <definedName name="DuoRidge" localSheetId="42">'SOU-MID-Main Roof'!$B$15</definedName>
    <definedName name="DuoRidge" localSheetId="44">'SOU-SMI-Main Roof'!$B$15</definedName>
    <definedName name="DuoRidge" localSheetId="46">'TIV-Main Roof'!$B$13</definedName>
    <definedName name="DuoRidge" localSheetId="47">'TIV-Porch (Gable)'!$B$13</definedName>
    <definedName name="DuoRidge" localSheetId="48">'WIN-Main Roof'!$B$14</definedName>
    <definedName name="DuoRidge" localSheetId="49">'WIN-Porch (Gable)'!$B$13</definedName>
    <definedName name="DuoRidge" localSheetId="50">'Z-GDBL6.7-Garage'!$B$13</definedName>
    <definedName name="DuoRidge" localSheetId="51">'Z-GDBLHIP-Garage'!$B$12</definedName>
    <definedName name="DuoRidge" localSheetId="53">'Z-GSNG3.5-Garage'!$B$13</definedName>
    <definedName name="DuoRidge" localSheetId="54">'Z-GTWN6.7-Garage'!$B$13</definedName>
    <definedName name="Eave" localSheetId="4">'ALN-END-Main Roof'!$B$10</definedName>
    <definedName name="Eave" localSheetId="5">'ALN-END-Porch (Lean to)'!$B$10</definedName>
    <definedName name="Eave" localSheetId="6">'ALN-MID-Main Roof'!$B$10</definedName>
    <definedName name="Eave" localSheetId="7">'ALN-MID-Porch (Lean to)'!$B$10</definedName>
    <definedName name="Eave" localSheetId="8">'CHE-Main Roof'!$B$10</definedName>
    <definedName name="Eave" localSheetId="9">'CHE-Porch (Gable)'!$B$10</definedName>
    <definedName name="Eave" localSheetId="10">'CLN-Main Roof'!$B$10</definedName>
    <definedName name="Eave" localSheetId="11">'CLN-Porch (Gable)'!$B$10</definedName>
    <definedName name="Eave" localSheetId="12">'CLY-Main Roof'!$B$10</definedName>
    <definedName name="Eave" localSheetId="13">'CLY-Porch (Gable)'!$B$10</definedName>
    <definedName name="Eave" localSheetId="14">'HNB-END-Main Roof'!$B$10</definedName>
    <definedName name="Eave" localSheetId="15">'HNB-END-Porch (Lean to)'!$B$10</definedName>
    <definedName name="Eave" localSheetId="16">'HNB-MID-Main Roof'!$B$10</definedName>
    <definedName name="Eave" localSheetId="17">'HNB-MID-Porch (Lean to)'!$B$10</definedName>
    <definedName name="Eave" localSheetId="18">'HNB-SMI-Main Roof'!$B$10</definedName>
    <definedName name="Eave" localSheetId="19">'HNB-SMI-Porch (Lean to)'!$B$10</definedName>
    <definedName name="Eave" localSheetId="20">'HNB-SMI-Porch (Lean to)(1)'!$B$10</definedName>
    <definedName name="Eave" localSheetId="21">'HTF-Main Roof'!$B$10</definedName>
    <definedName name="Eave" localSheetId="22">'HTF-Porch (Lean to)'!$B$10</definedName>
    <definedName name="Eave" localSheetId="23">'KND-Main Roof'!$B$10</definedName>
    <definedName name="Eave" localSheetId="24">'KND-Porch (Lean to)'!$B$10</definedName>
    <definedName name="Eave" localSheetId="25">'MSL-END-Main Roof'!$B$10</definedName>
    <definedName name="Eave" localSheetId="26">'MSL-END-Porch (Lean to)'!$B$10</definedName>
    <definedName name="Eave" localSheetId="27">'MSL-MID-Main Roof'!$B$10</definedName>
    <definedName name="Eave" localSheetId="28">'MSL-MID-Porch (Lean to)'!$B$10</definedName>
    <definedName name="Eave" localSheetId="29">'MSL-SMI-Main Roof'!$B$10</definedName>
    <definedName name="Eave" localSheetId="30">'MSL-SMI-Porch (Lean to)'!$B$10</definedName>
    <definedName name="Eave" localSheetId="31">'MSL-SMI-Porch (Lean to)(1)'!$B$10</definedName>
    <definedName name="Eave" localSheetId="34">'ROS-Lower Level'!$B$10</definedName>
    <definedName name="Eave" localSheetId="32">'ROS-Main Roof'!$B$10</definedName>
    <definedName name="Eave" localSheetId="33">'ROS-Porch (Gable)'!$B$10</definedName>
    <definedName name="Eave" localSheetId="36">'RUF-DET-Lower Level'!$B$10</definedName>
    <definedName name="Eave" localSheetId="35">'RUF-DET-Main Roof'!$B$10</definedName>
    <definedName name="Eave" localSheetId="38">'RUF-SMI-Lower Level'!$B$10</definedName>
    <definedName name="Eave" localSheetId="39">'RUF-SMI-Lower Level(1)'!$B$10</definedName>
    <definedName name="Eave" localSheetId="37">'RUF-SMI-Main Roof'!$B$10</definedName>
    <definedName name="Eave" localSheetId="40">'SOU-END-Main Roof'!$B$10</definedName>
    <definedName name="Eave" localSheetId="41">'SOU-END-Porch (Lean to)'!$B$10</definedName>
    <definedName name="Eave" localSheetId="42">'SOU-MID-Main Roof'!$B$10</definedName>
    <definedName name="Eave" localSheetId="43">'SOU-MID-Porch (Lean to)'!$B$10</definedName>
    <definedName name="Eave" localSheetId="44">'SOU-SMI-Main Roof'!$B$10</definedName>
    <definedName name="Eave" localSheetId="45">'SOU-SMI-Porch (Lean to)'!$B$10</definedName>
    <definedName name="Eave" localSheetId="46">'TIV-Main Roof'!$B$10</definedName>
    <definedName name="Eave" localSheetId="47">'TIV-Porch (Gable)'!$B$10</definedName>
    <definedName name="Eave" localSheetId="48">'WIN-Main Roof'!$B$10</definedName>
    <definedName name="Eave" localSheetId="49">'WIN-Porch (Gable)'!$B$10</definedName>
    <definedName name="Eave" localSheetId="50">'Z-GDBL6.7-Garage'!$B$10</definedName>
    <definedName name="Eave" localSheetId="51">'Z-GDBLHIP-Garage'!$B$10</definedName>
    <definedName name="Eave" localSheetId="52">'Z-GDBLPYR-Garage'!$B$10</definedName>
    <definedName name="Eave" localSheetId="53">'Z-GSNG3.5-Garage'!$B$10</definedName>
    <definedName name="Eave" localSheetId="54">'Z-GTWN6.7-Garage'!$B$10</definedName>
    <definedName name="Eave" localSheetId="55">'Z-GTWNPYR-Garage'!$B$10</definedName>
    <definedName name="Hip" localSheetId="51">'Z-GDBLHIP-Garage'!$B$11</definedName>
    <definedName name="Hip" localSheetId="52">'Z-GDBLPYR-Garage'!$B$11</definedName>
    <definedName name="Hip" localSheetId="55">'Z-GTWNPYR-Garage'!$B$11</definedName>
    <definedName name="JobSummaryItemId1667">'Job Summary'!$G$11</definedName>
    <definedName name="JobSummaryItemId1668">'Job Summary'!$G$9</definedName>
    <definedName name="JobSummaryItemId1671">'Job Summary'!$G$12</definedName>
    <definedName name="JobSummaryItemId1672">'Job Summary'!$G$13</definedName>
    <definedName name="JobSummaryItemId1674">'Job Summary'!$G$10</definedName>
    <definedName name="JobSummaryItemId1675">'Job Summary'!$G$14</definedName>
    <definedName name="JobSummaryItemId1676">'Job Summary'!$G$15</definedName>
    <definedName name="JobSummaryItemId1681">'Job Summary'!$G$17</definedName>
    <definedName name="JobSummaryItemId1684">'Job Summary'!$G$16</definedName>
    <definedName name="JobSummaryItemId1688">'Job Summary'!$G$19</definedName>
    <definedName name="JobSummaryItemId1690">'Job Summary'!$G$21</definedName>
    <definedName name="JobSummaryItemId1694">'Job Summary'!$G$20</definedName>
    <definedName name="JobSummaryItemId1695">'Job Summary'!$G$24</definedName>
    <definedName name="JobSummaryItemId1697">'Job Summary'!$G$23</definedName>
    <definedName name="JobSummaryItemId1698">'Job Summary'!$G$22</definedName>
    <definedName name="JobSummaryItemId1699">'Job Summary'!$G$8</definedName>
    <definedName name="JobSummaryItemId1700">'Job Summary'!$G$18</definedName>
    <definedName name="JobSummaryItemId1747">'Job Summary'!$G$26</definedName>
    <definedName name="JobSummaryItemId1750">'Job Summary'!$G$25</definedName>
    <definedName name="JobSummaryItemId1753">'Job Summary'!$G$27</definedName>
    <definedName name="JobSummaryItemId1754">'Job Summary'!$G$28</definedName>
    <definedName name="JobSummaryItemId1756">'Job Summary'!$G$29</definedName>
    <definedName name="JobSummaryItemId1758">'Job Summary'!$G$30</definedName>
    <definedName name="JobSummaryItemId1763">'Job Summary'!$G$32</definedName>
    <definedName name="JobSummaryItemId1764">'Job Summary'!$G$31</definedName>
    <definedName name="JobSummaryItemId1766">'Job Summary'!$G$34</definedName>
    <definedName name="JobSummaryItemId1767">'Job Summary'!$G$35</definedName>
    <definedName name="JobSummaryItemId1768">'Job Summary'!$G$33</definedName>
    <definedName name="JobSummaryItemId1770">'Job Summary'!$G$36</definedName>
    <definedName name="JobSummaryItemId1771">'Job Summary'!$G$38</definedName>
    <definedName name="JobSummaryItemId1773">'Job Summary'!$G$37</definedName>
    <definedName name="JobSummaryItemId1776">'Job Summary'!$G$40</definedName>
    <definedName name="JobSummaryItemId1777">'Job Summary'!$G$39</definedName>
    <definedName name="JobSummaryItemId1778">'Job Summary'!$G$42</definedName>
    <definedName name="JobSummaryItemId1780">'Job Summary'!$G$43</definedName>
    <definedName name="JobSummaryItemId1781">'Job Summary'!$G$41</definedName>
    <definedName name="JobSummaryItemId1784">'Job Summary'!$G$45</definedName>
    <definedName name="JobSummaryItemId1786">'Job Summary'!$G$47</definedName>
    <definedName name="JobSummaryItemId1788">'Job Summary'!$G$46</definedName>
    <definedName name="JobSummaryItemId1791">'Job Summary'!$G$49</definedName>
    <definedName name="JobSummaryItemId1792">'Job Summary'!$G$48</definedName>
    <definedName name="JobSummaryItemId1795">'Job Summary'!$G$44</definedName>
    <definedName name="JobSummaryItemId1799">'Job Summary'!$G$50</definedName>
    <definedName name="JobSummaryItemId1800">'Job Summary'!$G$51</definedName>
    <definedName name="JobSummaryItemId1802">'Job Summary'!$G$53</definedName>
    <definedName name="JobSummaryItemId1803">'Job Summary'!$G$52</definedName>
    <definedName name="JobSummaryItemId1806">'Job Summary'!$G$57</definedName>
    <definedName name="JobSummaryItemId1810">'Job Summary'!$G$55</definedName>
    <definedName name="JobSummaryItemId1812">'Job Summary'!$G$58</definedName>
    <definedName name="JobSummaryItemId1815">'Job Summary'!$G$59</definedName>
    <definedName name="JobSummaryItemId1817">'Job Summary'!$G$56</definedName>
    <definedName name="JobSummaryItemId1819">'Job Summary'!$G$54</definedName>
    <definedName name="JobSummaryTotal">'Job Summary'!$G$62</definedName>
    <definedName name="Labour" localSheetId="4">'ALN-END-Main Roof'!$A$61</definedName>
    <definedName name="Labour" localSheetId="5">'ALN-END-Porch (Lean to)'!$A$56</definedName>
    <definedName name="Labour" localSheetId="6">'ALN-MID-Main Roof'!$A$52</definedName>
    <definedName name="Labour" localSheetId="7">'ALN-MID-Porch (Lean to)'!$A$56</definedName>
    <definedName name="Labour" localSheetId="8">'CHE-Main Roof'!$A$59</definedName>
    <definedName name="Labour" localSheetId="9">'CHE-Porch (Gable)'!$A$58</definedName>
    <definedName name="Labour" localSheetId="10">'CLN-Main Roof'!$A$65</definedName>
    <definedName name="Labour" localSheetId="11">'CLN-Porch (Gable)'!$A$58</definedName>
    <definedName name="Labour" localSheetId="12">'CLY-Main Roof'!$A$60</definedName>
    <definedName name="Labour" localSheetId="13">'CLY-Porch (Gable)'!$A$58</definedName>
    <definedName name="Labour" localSheetId="14">'HNB-END-Main Roof'!$A$61</definedName>
    <definedName name="Labour" localSheetId="15">'HNB-END-Porch (Lean to)'!$A$56</definedName>
    <definedName name="Labour" localSheetId="16">'HNB-MID-Main Roof'!$A$52</definedName>
    <definedName name="Labour" localSheetId="17">'HNB-MID-Porch (Lean to)'!$A$56</definedName>
    <definedName name="Labour" localSheetId="18">'HNB-SMI-Main Roof'!$A$61</definedName>
    <definedName name="Labour" localSheetId="19">'HNB-SMI-Porch (Lean to)'!$A$56</definedName>
    <definedName name="Labour" localSheetId="20">'HNB-SMI-Porch (Lean to)(1)'!$A$56</definedName>
    <definedName name="Labour" localSheetId="21">'HTF-Main Roof'!$A$64</definedName>
    <definedName name="Labour" localSheetId="22">'HTF-Porch (Lean to)'!$A$53</definedName>
    <definedName name="Labour" localSheetId="23">'KND-Main Roof'!$A$64</definedName>
    <definedName name="Labour" localSheetId="24">'KND-Porch (Lean to)'!$A$52</definedName>
    <definedName name="Labour" localSheetId="25">'MSL-END-Main Roof'!$A$61</definedName>
    <definedName name="Labour" localSheetId="26">'MSL-END-Porch (Lean to)'!$A$51</definedName>
    <definedName name="Labour" localSheetId="27">'MSL-MID-Main Roof'!$A$52</definedName>
    <definedName name="Labour" localSheetId="28">'MSL-MID-Porch (Lean to)'!$A$51</definedName>
    <definedName name="Labour" localSheetId="29">'MSL-SMI-Main Roof'!$A$61</definedName>
    <definedName name="Labour" localSheetId="30">'MSL-SMI-Porch (Lean to)'!$A$51</definedName>
    <definedName name="Labour" localSheetId="31">'MSL-SMI-Porch (Lean to)(1)'!$A$51</definedName>
    <definedName name="Labour" localSheetId="34">'ROS-Lower Level'!$A$57</definedName>
    <definedName name="Labour" localSheetId="32">'ROS-Main Roof'!$A$64</definedName>
    <definedName name="Labour" localSheetId="33">'ROS-Porch (Gable)'!$A$58</definedName>
    <definedName name="Labour" localSheetId="36">'RUF-DET-Lower Level'!$A$55</definedName>
    <definedName name="Labour" localSheetId="35">'RUF-DET-Main Roof'!$A$59</definedName>
    <definedName name="Labour" localSheetId="38">'RUF-SMI-Lower Level'!$A$55</definedName>
    <definedName name="Labour" localSheetId="39">'RUF-SMI-Lower Level(1)'!$A$55</definedName>
    <definedName name="Labour" localSheetId="37">'RUF-SMI-Main Roof'!$A$61</definedName>
    <definedName name="Labour" localSheetId="40">'SOU-END-Main Roof'!$A$71</definedName>
    <definedName name="Labour" localSheetId="41">'SOU-END-Porch (Lean to)'!$A$56</definedName>
    <definedName name="Labour" localSheetId="42">'SOU-MID-Main Roof'!$A$71</definedName>
    <definedName name="Labour" localSheetId="43">'SOU-MID-Porch (Lean to)'!$A$56</definedName>
    <definedName name="Labour" localSheetId="44">'SOU-SMI-Main Roof'!$A$71</definedName>
    <definedName name="Labour" localSheetId="45">'SOU-SMI-Porch (Lean to)'!$A$56</definedName>
    <definedName name="Labour" localSheetId="46">'TIV-Main Roof'!$A$59</definedName>
    <definedName name="Labour" localSheetId="47">'TIV-Porch (Gable)'!$A$58</definedName>
    <definedName name="Labour" localSheetId="48">'WIN-Main Roof'!$A$64</definedName>
    <definedName name="Labour" localSheetId="49">'WIN-Porch (Gable)'!$A$58</definedName>
    <definedName name="Labour" localSheetId="50">'Z-GDBL6.7-Garage'!$A$57</definedName>
    <definedName name="Labour" localSheetId="51">'Z-GDBLHIP-Garage'!$A$53</definedName>
    <definedName name="Labour" localSheetId="52">'Z-GDBLPYR-Garage'!$A$51</definedName>
    <definedName name="Labour" localSheetId="53">'Z-GSNG3.5-Garage'!$A$57</definedName>
    <definedName name="Labour" localSheetId="54">'Z-GTWN6.7-Garage'!$A$59</definedName>
    <definedName name="Labour" localSheetId="55">'Z-GTWNPYR-Garage'!$A$53</definedName>
    <definedName name="Labour">#REF!</definedName>
    <definedName name="LABOURTOTAL" localSheetId="4">'ALN-END-Main Roof'!$G$68</definedName>
    <definedName name="LABOURTOTAL" localSheetId="5">'ALN-END-Porch (Lean to)'!$G$63</definedName>
    <definedName name="LABOURTOTAL" localSheetId="6">'ALN-MID-Main Roof'!$G$58</definedName>
    <definedName name="LABOURTOTAL" localSheetId="7">'ALN-MID-Porch (Lean to)'!$G$63</definedName>
    <definedName name="LABOURTOTAL" localSheetId="8">'CHE-Main Roof'!$G$65</definedName>
    <definedName name="LABOURTOTAL" localSheetId="9">'CHE-Porch (Gable)'!$G$67</definedName>
    <definedName name="LABOURTOTAL" localSheetId="10">'CLN-Main Roof'!$G$73</definedName>
    <definedName name="LABOURTOTAL" localSheetId="11">'CLN-Porch (Gable)'!$G$67</definedName>
    <definedName name="LABOURTOTAL" localSheetId="12">'CLY-Main Roof'!$G$67</definedName>
    <definedName name="LABOURTOTAL" localSheetId="13">'CLY-Porch (Gable)'!$G$67</definedName>
    <definedName name="LABOURTOTAL" localSheetId="14">'HNB-END-Main Roof'!$G$68</definedName>
    <definedName name="LABOURTOTAL" localSheetId="15">'HNB-END-Porch (Lean to)'!$G$63</definedName>
    <definedName name="LABOURTOTAL" localSheetId="16">'HNB-MID-Main Roof'!$G$58</definedName>
    <definedName name="LABOURTOTAL" localSheetId="17">'HNB-MID-Porch (Lean to)'!$G$63</definedName>
    <definedName name="LABOURTOTAL" localSheetId="18">'HNB-SMI-Main Roof'!$G$68</definedName>
    <definedName name="LABOURTOTAL" localSheetId="19">'HNB-SMI-Porch (Lean to)'!$G$63</definedName>
    <definedName name="LABOURTOTAL" localSheetId="20">'HNB-SMI-Porch (Lean to)(1)'!$G$63</definedName>
    <definedName name="LABOURTOTAL" localSheetId="21">'HTF-Main Roof'!$G$71</definedName>
    <definedName name="LABOURTOTAL" localSheetId="22">'HTF-Porch (Lean to)'!$G$62</definedName>
    <definedName name="LABOURTOTAL" localSheetId="23">'KND-Main Roof'!$G$71</definedName>
    <definedName name="LABOURTOTAL" localSheetId="24">'KND-Porch (Lean to)'!$G$61</definedName>
    <definedName name="LABOURTOTAL" localSheetId="25">'MSL-END-Main Roof'!$G$69</definedName>
    <definedName name="LABOURTOTAL" localSheetId="26">'MSL-END-Porch (Lean to)'!$G$58</definedName>
    <definedName name="LABOURTOTAL" localSheetId="27">'MSL-MID-Main Roof'!$G$59</definedName>
    <definedName name="LABOURTOTAL" localSheetId="28">'MSL-MID-Porch (Lean to)'!$G$58</definedName>
    <definedName name="LABOURTOTAL" localSheetId="29">'MSL-SMI-Main Roof'!$G$69</definedName>
    <definedName name="LABOURTOTAL" localSheetId="30">'MSL-SMI-Porch (Lean to)'!$G$58</definedName>
    <definedName name="LABOURTOTAL" localSheetId="31">'MSL-SMI-Porch (Lean to)(1)'!$G$58</definedName>
    <definedName name="LABOURTOTAL" localSheetId="34">'ROS-Lower Level'!$G$65</definedName>
    <definedName name="LABOURTOTAL" localSheetId="32">'ROS-Main Roof'!$G$71</definedName>
    <definedName name="LABOURTOTAL" localSheetId="33">'ROS-Porch (Gable)'!$G$67</definedName>
    <definedName name="LABOURTOTAL" localSheetId="36">'RUF-DET-Lower Level'!$G$62</definedName>
    <definedName name="LABOURTOTAL" localSheetId="35">'RUF-DET-Main Roof'!$G$65</definedName>
    <definedName name="LABOURTOTAL" localSheetId="38">'RUF-SMI-Lower Level'!$G$62</definedName>
    <definedName name="LABOURTOTAL" localSheetId="39">'RUF-SMI-Lower Level(1)'!$G$62</definedName>
    <definedName name="LABOURTOTAL" localSheetId="37">'RUF-SMI-Main Roof'!$G$68</definedName>
    <definedName name="LABOURTOTAL" localSheetId="40">'SOU-END-Main Roof'!$G$85</definedName>
    <definedName name="LABOURTOTAL" localSheetId="41">'SOU-END-Porch (Lean to)'!$G$63</definedName>
    <definedName name="LABOURTOTAL" localSheetId="42">'SOU-MID-Main Roof'!$G$85</definedName>
    <definedName name="LABOURTOTAL" localSheetId="43">'SOU-MID-Porch (Lean to)'!$G$63</definedName>
    <definedName name="LABOURTOTAL" localSheetId="44">'SOU-SMI-Main Roof'!$G$85</definedName>
    <definedName name="LABOURTOTAL" localSheetId="45">'SOU-SMI-Porch (Lean to)'!$G$63</definedName>
    <definedName name="LABOURTOTAL" localSheetId="46">'TIV-Main Roof'!$G$65</definedName>
    <definedName name="LABOURTOTAL" localSheetId="47">'TIV-Porch (Gable)'!$G$67</definedName>
    <definedName name="LABOURTOTAL" localSheetId="48">'WIN-Main Roof'!$G$71</definedName>
    <definedName name="LABOURTOTAL" localSheetId="49">'WIN-Porch (Gable)'!$G$67</definedName>
    <definedName name="LABOURTOTAL" localSheetId="50">'Z-GDBL6.7-Garage'!$G$63</definedName>
    <definedName name="LABOURTOTAL" localSheetId="51">'Z-GDBLHIP-Garage'!$G$59</definedName>
    <definedName name="LABOURTOTAL" localSheetId="52">'Z-GDBLPYR-Garage'!$G$56</definedName>
    <definedName name="LABOURTOTAL" localSheetId="53">'Z-GSNG3.5-Garage'!$G$63</definedName>
    <definedName name="LABOURTOTAL" localSheetId="54">'Z-GTWN6.7-Garage'!$G$66</definedName>
    <definedName name="LABOURTOTAL" localSheetId="55">'Z-GTWNPYR-Garage'!$G$59</definedName>
    <definedName name="LABOURTOTAL">#REF!</definedName>
    <definedName name="LabP8815R0L1G10Desc">'Site Summary'!$A$54</definedName>
    <definedName name="LabP8815R0L1G10Per">'Site Summary'!$F$54</definedName>
    <definedName name="LabP8815R0L1G10Rate">'Site Summary'!$G$54</definedName>
    <definedName name="LabP8815R0L1G241Desc">'Site Summary'!$A$55</definedName>
    <definedName name="LabP8815R0L1G241Per">'Site Summary'!$F$55</definedName>
    <definedName name="LabP8815R0L1G241Rate">'Site Summary'!$G$55</definedName>
    <definedName name="LabP8815R0L1G2Desc">'Site Summary'!$A$49</definedName>
    <definedName name="LabP8815R0L1G2Per">'Site Summary'!$F$49</definedName>
    <definedName name="LabP8815R0L1G2Rate">'Site Summary'!$G$49</definedName>
    <definedName name="LabP8815R0L1G3Desc">'Site Summary'!$A$50</definedName>
    <definedName name="LabP8815R0L1G3Per">'Site Summary'!$F$50</definedName>
    <definedName name="LabP8815R0L1G3Rate">'Site Summary'!$G$50</definedName>
    <definedName name="LabP8815R0L1G8Desc">'Site Summary'!$A$53</definedName>
    <definedName name="LabP8815R0L1G8Per">'Site Summary'!$F$53</definedName>
    <definedName name="LabP8815R0L1G8Rate">'Site Summary'!$G$53</definedName>
    <definedName name="LabP8815R0LabBoilerFlueDesc">'Site Summary'!$A$58</definedName>
    <definedName name="LabP8815R0LabBoilerFluePer">'Site Summary'!$F$58</definedName>
    <definedName name="LabP8815R0LabBoilerFlueRate">'Site Summary'!$G$58</definedName>
    <definedName name="LabP8815R0LabCuttingandDressingtoGRPDormersDesc">'Site Summary'!$A$59</definedName>
    <definedName name="LabP8815R0LabCuttingandDressingtoGRPDormersPer">'Site Summary'!$F$59</definedName>
    <definedName name="LabP8815R0LabCuttingandDressingtoGRPDormersRate">'Site Summary'!$G$59</definedName>
    <definedName name="LabP8815R150LabLabourforLowerLevelDesc">'Site Summary'!$A$62</definedName>
    <definedName name="LabP8815R150LabLabourforLowerLevelPer">'Site Summary'!$F$62</definedName>
    <definedName name="LabP8815R150LabLabourforLowerLevelRate">'Site Summary'!$G$62</definedName>
    <definedName name="LabP8815R150LabLabourforPorchesDesc">'Site Summary'!$A$63</definedName>
    <definedName name="LabP8815R150LabLabourforPorchesPer">'Site Summary'!$F$63</definedName>
    <definedName name="LabP8815R150LabLabourforPorchesRate">'Site Summary'!$G$63</definedName>
    <definedName name="LabP8815R15L1G243Desc">'Site Summary'!$A$56</definedName>
    <definedName name="LabP8815R15L1G243Per">'Site Summary'!$F$56</definedName>
    <definedName name="LabP8815R15L1G243Rate">'Site Summary'!$G$56</definedName>
    <definedName name="LabP8815R15L1G274Desc">'Site Summary'!$A$57</definedName>
    <definedName name="LabP8815R15L1G274Per">'Site Summary'!$F$57</definedName>
    <definedName name="LabP8815R15L1G274Rate">'Site Summary'!$G$57</definedName>
    <definedName name="LabP8815R15L1G6Desc">'Site Summary'!$A$51</definedName>
    <definedName name="LabP8815R15L1G6Per">'Site Summary'!$F$51</definedName>
    <definedName name="LabP8815R15L1G6Rate">'Site Summary'!$G$51</definedName>
    <definedName name="LabP8815R15L1G7Desc">'Site Summary'!$A$52</definedName>
    <definedName name="LabP8815R15L1G7Per">'Site Summary'!$F$52</definedName>
    <definedName name="LabP8815R15L1G7Rate">'Site Summary'!$G$52</definedName>
    <definedName name="LabP8815R30LabLabourforCuttingtoSolarPanelsDesc">'Site Summary'!$A$60</definedName>
    <definedName name="LabP8815R30LabLabourforCuttingtoSolarPanelsPer">'Site Summary'!$F$60</definedName>
    <definedName name="LabP8815R30LabLabourforCuttingtoSolarPanelsRate">'Site Summary'!$G$60</definedName>
    <definedName name="LabP8815R30LabLabourforCuttingtoVeluxDesc">'Site Summary'!$A$61</definedName>
    <definedName name="LabP8815R30LabLabourforCuttingtoVeluxPer">'Site Summary'!$F$61</definedName>
    <definedName name="LabP8815R30LabLabourforCuttingtoVeluxRate">'Site Summary'!$G$61</definedName>
    <definedName name="LabP8815R6L1G1Desc">'Site Summary'!$A$48</definedName>
    <definedName name="LabP8815R6L1G1Per">'Site Summary'!$F$48</definedName>
    <definedName name="LabP8815R6L1G1Rate">'Site Summary'!$G$48</definedName>
    <definedName name="LeftVerge" localSheetId="4">'ALN-END-Main Roof'!$B$11</definedName>
    <definedName name="LeftVerge" localSheetId="5">'ALN-END-Porch (Lean to)'!$B$12</definedName>
    <definedName name="LeftVerge" localSheetId="7">'ALN-MID-Porch (Lean to)'!$B$12</definedName>
    <definedName name="LeftVerge" localSheetId="8">'CHE-Main Roof'!$B$11</definedName>
    <definedName name="LeftVerge" localSheetId="9">'CHE-Porch (Gable)'!$B$11</definedName>
    <definedName name="LeftVerge" localSheetId="10">'CLN-Main Roof'!$B$11</definedName>
    <definedName name="LeftVerge" localSheetId="11">'CLN-Porch (Gable)'!$B$11</definedName>
    <definedName name="LeftVerge" localSheetId="12">'CLY-Main Roof'!$B$11</definedName>
    <definedName name="LeftVerge" localSheetId="13">'CLY-Porch (Gable)'!$B$11</definedName>
    <definedName name="LeftVerge" localSheetId="14">'HNB-END-Main Roof'!$B$11</definedName>
    <definedName name="LeftVerge" localSheetId="15">'HNB-END-Porch (Lean to)'!$B$12</definedName>
    <definedName name="LeftVerge" localSheetId="17">'HNB-MID-Porch (Lean to)'!$B$12</definedName>
    <definedName name="LeftVerge" localSheetId="18">'HNB-SMI-Main Roof'!$B$11</definedName>
    <definedName name="LeftVerge" localSheetId="19">'HNB-SMI-Porch (Lean to)'!$B$12</definedName>
    <definedName name="LeftVerge" localSheetId="20">'HNB-SMI-Porch (Lean to)(1)'!$B$12</definedName>
    <definedName name="LeftVerge" localSheetId="21">'HTF-Main Roof'!$B$11</definedName>
    <definedName name="LeftVerge" localSheetId="22">'HTF-Porch (Lean to)'!$B$12</definedName>
    <definedName name="LeftVerge" localSheetId="23">'KND-Main Roof'!$B$11</definedName>
    <definedName name="LeftVerge" localSheetId="24">'KND-Porch (Lean to)'!$B$12</definedName>
    <definedName name="LeftVerge" localSheetId="25">'MSL-END-Main Roof'!$B$11</definedName>
    <definedName name="LeftVerge" localSheetId="26">'MSL-END-Porch (Lean to)'!$B$12</definedName>
    <definedName name="LeftVerge" localSheetId="28">'MSL-MID-Porch (Lean to)'!$B$12</definedName>
    <definedName name="LeftVerge" localSheetId="29">'MSL-SMI-Main Roof'!$B$11</definedName>
    <definedName name="LeftVerge" localSheetId="30">'MSL-SMI-Porch (Lean to)'!$B$12</definedName>
    <definedName name="LeftVerge" localSheetId="31">'MSL-SMI-Porch (Lean to)(1)'!$B$12</definedName>
    <definedName name="LeftVerge" localSheetId="34">'ROS-Lower Level'!$B$12</definedName>
    <definedName name="LeftVerge" localSheetId="32">'ROS-Main Roof'!$B$11</definedName>
    <definedName name="LeftVerge" localSheetId="33">'ROS-Porch (Gable)'!$B$11</definedName>
    <definedName name="LeftVerge" localSheetId="36">'RUF-DET-Lower Level'!$B$12</definedName>
    <definedName name="LeftVerge" localSheetId="35">'RUF-DET-Main Roof'!$B$11</definedName>
    <definedName name="LeftVerge" localSheetId="38">'RUF-SMI-Lower Level'!$B$12</definedName>
    <definedName name="LeftVerge" localSheetId="39">'RUF-SMI-Lower Level(1)'!$B$12</definedName>
    <definedName name="LeftVerge" localSheetId="37">'RUF-SMI-Main Roof'!$B$11</definedName>
    <definedName name="LeftVerge" localSheetId="40">'SOU-END-Main Roof'!$B$12</definedName>
    <definedName name="LeftVerge" localSheetId="41">'SOU-END-Porch (Lean to)'!$B$12</definedName>
    <definedName name="LeftVerge" localSheetId="42">'SOU-MID-Main Roof'!$B$12</definedName>
    <definedName name="LeftVerge" localSheetId="43">'SOU-MID-Porch (Lean to)'!$B$12</definedName>
    <definedName name="LeftVerge" localSheetId="44">'SOU-SMI-Main Roof'!$B$12</definedName>
    <definedName name="LeftVerge" localSheetId="45">'SOU-SMI-Porch (Lean to)'!$B$12</definedName>
    <definedName name="LeftVerge" localSheetId="46">'TIV-Main Roof'!$B$11</definedName>
    <definedName name="LeftVerge" localSheetId="47">'TIV-Porch (Gable)'!$B$11</definedName>
    <definedName name="LeftVerge" localSheetId="48">'WIN-Main Roof'!$B$11</definedName>
    <definedName name="LeftVerge" localSheetId="49">'WIN-Porch (Gable)'!$B$11</definedName>
    <definedName name="LeftVerge" localSheetId="50">'Z-GDBL6.7-Garage'!$B$11</definedName>
    <definedName name="LeftVerge" localSheetId="53">'Z-GSNG3.5-Garage'!$B$11</definedName>
    <definedName name="LeftVerge" localSheetId="54">'Z-GTWN6.7-Garage'!$B$11</definedName>
    <definedName name="MarkupPercentage">'Job Summary'!$E$5</definedName>
    <definedName name="Materials" localSheetId="4">'ALN-END-Main Roof'!$A$36</definedName>
    <definedName name="Materials" localSheetId="5">'ALN-END-Porch (Lean to)'!$A$34</definedName>
    <definedName name="Materials" localSheetId="6">'ALN-MID-Main Roof'!$A$32</definedName>
    <definedName name="Materials" localSheetId="7">'ALN-MID-Porch (Lean to)'!$A$34</definedName>
    <definedName name="Materials" localSheetId="8">'CHE-Main Roof'!$A$35</definedName>
    <definedName name="Materials" localSheetId="9">'CHE-Porch (Gable)'!$A$36</definedName>
    <definedName name="Materials" localSheetId="10">'CLN-Main Roof'!$A$38</definedName>
    <definedName name="Materials" localSheetId="11">'CLN-Porch (Gable)'!$A$36</definedName>
    <definedName name="Materials" localSheetId="12">'CLY-Main Roof'!$A$35</definedName>
    <definedName name="Materials" localSheetId="13">'CLY-Porch (Gable)'!$A$36</definedName>
    <definedName name="Materials" localSheetId="14">'HNB-END-Main Roof'!$A$36</definedName>
    <definedName name="Materials" localSheetId="15">'HNB-END-Porch (Lean to)'!$A$34</definedName>
    <definedName name="Materials" localSheetId="16">'HNB-MID-Main Roof'!$A$32</definedName>
    <definedName name="Materials" localSheetId="17">'HNB-MID-Porch (Lean to)'!$A$34</definedName>
    <definedName name="Materials" localSheetId="18">'HNB-SMI-Main Roof'!$A$36</definedName>
    <definedName name="Materials" localSheetId="19">'HNB-SMI-Porch (Lean to)'!$A$34</definedName>
    <definedName name="Materials" localSheetId="20">'HNB-SMI-Porch (Lean to)(1)'!$A$34</definedName>
    <definedName name="Materials" localSheetId="21">'HTF-Main Roof'!$A$38</definedName>
    <definedName name="Materials" localSheetId="22">'HTF-Porch (Lean to)'!$A$35</definedName>
    <definedName name="Materials" localSheetId="23">'KND-Main Roof'!$A$38</definedName>
    <definedName name="Materials" localSheetId="24">'KND-Porch (Lean to)'!$A$35</definedName>
    <definedName name="Materials" localSheetId="25">'MSL-END-Main Roof'!$A$36</definedName>
    <definedName name="Materials" localSheetId="26">'MSL-END-Porch (Lean to)'!$A$33</definedName>
    <definedName name="Materials" localSheetId="27">'MSL-MID-Main Roof'!$A$32</definedName>
    <definedName name="Materials" localSheetId="28">'MSL-MID-Porch (Lean to)'!$A$33</definedName>
    <definedName name="Materials" localSheetId="29">'MSL-SMI-Main Roof'!$A$36</definedName>
    <definedName name="Materials" localSheetId="30">'MSL-SMI-Porch (Lean to)'!$A$33</definedName>
    <definedName name="Materials" localSheetId="31">'MSL-SMI-Porch (Lean to)(1)'!$A$33</definedName>
    <definedName name="Materials" localSheetId="34">'ROS-Lower Level'!$A$36</definedName>
    <definedName name="Materials" localSheetId="32">'ROS-Main Roof'!$A$38</definedName>
    <definedName name="Materials" localSheetId="33">'ROS-Porch (Gable)'!$A$36</definedName>
    <definedName name="Materials" localSheetId="36">'RUF-DET-Lower Level'!$A$34</definedName>
    <definedName name="Materials" localSheetId="35">'RUF-DET-Main Roof'!$A$35</definedName>
    <definedName name="Materials" localSheetId="38">'RUF-SMI-Lower Level'!$A$34</definedName>
    <definedName name="Materials" localSheetId="39">'RUF-SMI-Lower Level(1)'!$A$34</definedName>
    <definedName name="Materials" localSheetId="37">'RUF-SMI-Main Roof'!$A$36</definedName>
    <definedName name="Materials" localSheetId="40">'SOU-END-Main Roof'!$A$43</definedName>
    <definedName name="Materials" localSheetId="41">'SOU-END-Porch (Lean to)'!$A$34</definedName>
    <definedName name="Materials" localSheetId="42">'SOU-MID-Main Roof'!$A$43</definedName>
    <definedName name="Materials" localSheetId="43">'SOU-MID-Porch (Lean to)'!$A$34</definedName>
    <definedName name="Materials" localSheetId="44">'SOU-SMI-Main Roof'!$A$43</definedName>
    <definedName name="Materials" localSheetId="45">'SOU-SMI-Porch (Lean to)'!$A$34</definedName>
    <definedName name="Materials" localSheetId="46">'TIV-Main Roof'!$A$35</definedName>
    <definedName name="Materials" localSheetId="47">'TIV-Porch (Gable)'!$A$36</definedName>
    <definedName name="Materials" localSheetId="48">'WIN-Main Roof'!$A$38</definedName>
    <definedName name="Materials" localSheetId="49">'WIN-Porch (Gable)'!$A$36</definedName>
    <definedName name="Materials" localSheetId="50">'Z-GDBL6.7-Garage'!$A$35</definedName>
    <definedName name="Materials" localSheetId="51">'Z-GDBLHIP-Garage'!$A$34</definedName>
    <definedName name="Materials" localSheetId="52">'Z-GDBLPYR-Garage'!$A$32</definedName>
    <definedName name="Materials" localSheetId="53">'Z-GSNG3.5-Garage'!$A$35</definedName>
    <definedName name="Materials" localSheetId="54">'Z-GTWN6.7-Garage'!$A$36</definedName>
    <definedName name="Materials" localSheetId="55">'Z-GTWNPYR-Garage'!$A$33</definedName>
    <definedName name="Materials">#REF!</definedName>
    <definedName name="MATERIALTOTAL" localSheetId="4">'ALN-END-Main Roof'!$G$56</definedName>
    <definedName name="MATERIALTOTAL" localSheetId="5">'ALN-END-Porch (Lean to)'!$G$51</definedName>
    <definedName name="MATERIALTOTAL" localSheetId="6">'ALN-MID-Main Roof'!$G$47</definedName>
    <definedName name="MATERIALTOTAL" localSheetId="7">'ALN-MID-Porch (Lean to)'!$G$51</definedName>
    <definedName name="MATERIALTOTAL" localSheetId="8">'CHE-Main Roof'!$G$54</definedName>
    <definedName name="MATERIALTOTAL" localSheetId="9">'CHE-Porch (Gable)'!$G$53</definedName>
    <definedName name="MATERIALTOTAL" localSheetId="10">'CLN-Main Roof'!$G$60</definedName>
    <definedName name="MATERIALTOTAL" localSheetId="11">'CLN-Porch (Gable)'!$G$53</definedName>
    <definedName name="MATERIALTOTAL" localSheetId="12">'CLY-Main Roof'!$G$55</definedName>
    <definedName name="MATERIALTOTAL" localSheetId="13">'CLY-Porch (Gable)'!$G$53</definedName>
    <definedName name="MATERIALTOTAL" localSheetId="14">'HNB-END-Main Roof'!$G$56</definedName>
    <definedName name="MATERIALTOTAL" localSheetId="15">'HNB-END-Porch (Lean to)'!$G$51</definedName>
    <definedName name="MATERIALTOTAL" localSheetId="16">'HNB-MID-Main Roof'!$G$47</definedName>
    <definedName name="MATERIALTOTAL" localSheetId="17">'HNB-MID-Porch (Lean to)'!$G$51</definedName>
    <definedName name="MATERIALTOTAL" localSheetId="18">'HNB-SMI-Main Roof'!$G$56</definedName>
    <definedName name="MATERIALTOTAL" localSheetId="19">'HNB-SMI-Porch (Lean to)'!$G$51</definedName>
    <definedName name="MATERIALTOTAL" localSheetId="20">'HNB-SMI-Porch (Lean to)(1)'!$G$51</definedName>
    <definedName name="MATERIALTOTAL" localSheetId="21">'HTF-Main Roof'!$G$59</definedName>
    <definedName name="MATERIALTOTAL" localSheetId="22">'HTF-Porch (Lean to)'!$G$48</definedName>
    <definedName name="MATERIALTOTAL" localSheetId="23">'KND-Main Roof'!$G$59</definedName>
    <definedName name="MATERIALTOTAL" localSheetId="24">'KND-Porch (Lean to)'!$G$47</definedName>
    <definedName name="MATERIALTOTAL" localSheetId="25">'MSL-END-Main Roof'!$G$56</definedName>
    <definedName name="MATERIALTOTAL" localSheetId="26">'MSL-END-Porch (Lean to)'!$G$46</definedName>
    <definedName name="MATERIALTOTAL" localSheetId="27">'MSL-MID-Main Roof'!$G$47</definedName>
    <definedName name="MATERIALTOTAL" localSheetId="28">'MSL-MID-Porch (Lean to)'!$G$46</definedName>
    <definedName name="MATERIALTOTAL" localSheetId="29">'MSL-SMI-Main Roof'!$G$56</definedName>
    <definedName name="MATERIALTOTAL" localSheetId="30">'MSL-SMI-Porch (Lean to)'!$G$46</definedName>
    <definedName name="MATERIALTOTAL" localSheetId="31">'MSL-SMI-Porch (Lean to)(1)'!$G$46</definedName>
    <definedName name="MATERIALTOTAL" localSheetId="34">'ROS-Lower Level'!$G$52</definedName>
    <definedName name="MATERIALTOTAL" localSheetId="32">'ROS-Main Roof'!$G$59</definedName>
    <definedName name="MATERIALTOTAL" localSheetId="33">'ROS-Porch (Gable)'!$G$53</definedName>
    <definedName name="MATERIALTOTAL" localSheetId="36">'RUF-DET-Lower Level'!$G$50</definedName>
    <definedName name="MATERIALTOTAL" localSheetId="35">'RUF-DET-Main Roof'!$G$54</definedName>
    <definedName name="MATERIALTOTAL" localSheetId="38">'RUF-SMI-Lower Level'!$G$50</definedName>
    <definedName name="MATERIALTOTAL" localSheetId="39">'RUF-SMI-Lower Level(1)'!$G$50</definedName>
    <definedName name="MATERIALTOTAL" localSheetId="37">'RUF-SMI-Main Roof'!$G$56</definedName>
    <definedName name="MATERIALTOTAL" localSheetId="40">'SOU-END-Main Roof'!$G$66</definedName>
    <definedName name="MATERIALTOTAL" localSheetId="41">'SOU-END-Porch (Lean to)'!$G$51</definedName>
    <definedName name="MATERIALTOTAL" localSheetId="42">'SOU-MID-Main Roof'!$G$66</definedName>
    <definedName name="MATERIALTOTAL" localSheetId="43">'SOU-MID-Porch (Lean to)'!$G$51</definedName>
    <definedName name="MATERIALTOTAL" localSheetId="44">'SOU-SMI-Main Roof'!$G$66</definedName>
    <definedName name="MATERIALTOTAL" localSheetId="45">'SOU-SMI-Porch (Lean to)'!$G$51</definedName>
    <definedName name="MATERIALTOTAL" localSheetId="46">'TIV-Main Roof'!$G$54</definedName>
    <definedName name="MATERIALTOTAL" localSheetId="47">'TIV-Porch (Gable)'!$G$53</definedName>
    <definedName name="MATERIALTOTAL" localSheetId="48">'WIN-Main Roof'!$G$59</definedName>
    <definedName name="MATERIALTOTAL" localSheetId="49">'WIN-Porch (Gable)'!$G$53</definedName>
    <definedName name="MATERIALTOTAL" localSheetId="50">'Z-GDBL6.7-Garage'!$G$52</definedName>
    <definedName name="MATERIALTOTAL" localSheetId="51">'Z-GDBLHIP-Garage'!$G$48</definedName>
    <definedName name="MATERIALTOTAL" localSheetId="52">'Z-GDBLPYR-Garage'!$G$46</definedName>
    <definedName name="MATERIALTOTAL" localSheetId="53">'Z-GSNG3.5-Garage'!$G$52</definedName>
    <definedName name="MATERIALTOTAL" localSheetId="54">'Z-GTWN6.7-Garage'!$G$54</definedName>
    <definedName name="MATERIALTOTAL" localSheetId="55">'Z-GTWNPYR-Garage'!$G$48</definedName>
    <definedName name="MATERIALTOTAL">#REF!</definedName>
    <definedName name="MatLeadHipSaddleCode">'Site Summary'!$C$34</definedName>
    <definedName name="MatLeadHipSaddleColour">'Site Summary'!$B$34</definedName>
    <definedName name="MatLeadHipSaddleDesc">'Site Summary'!$D$34</definedName>
    <definedName name="MatLeadHipSaddleManufacturer">'Site Summary'!$A$34</definedName>
    <definedName name="MatLeadHipSaddlePerText">'Site Summary'!$G$34</definedName>
    <definedName name="MatLeadHipSaddlePrice">'Site Summary'!$F$34</definedName>
    <definedName name="MatLeadRidgeApexSaddleCode">'Site Summary'!$C$36</definedName>
    <definedName name="MatLeadRidgeApexSaddleColour">'Site Summary'!$B$36</definedName>
    <definedName name="MatLeadRidgeApexSaddleDesc">'Site Summary'!$D$36</definedName>
    <definedName name="MatLeadRidgeApexSaddleManufacturer">'Site Summary'!$A$36</definedName>
    <definedName name="MatLeadRidgeApexSaddlePerText">'Site Summary'!$G$36</definedName>
    <definedName name="MatLeadRidgeApexSaddlePrice">'Site Summary'!$F$36</definedName>
    <definedName name="MatLeadSlateCode">'Site Summary'!$C$37</definedName>
    <definedName name="MatLeadSlateColour">'Site Summary'!$B$37</definedName>
    <definedName name="MatLeadSlateDesc">'Site Summary'!$D$37</definedName>
    <definedName name="MatLeadSlateManufacturer">'Site Summary'!$A$37</definedName>
    <definedName name="MatLeadSlatePerText">'Site Summary'!$G$37</definedName>
    <definedName name="MatLeadSlatePrice">'Site Summary'!$F$37</definedName>
    <definedName name="MatLeadValleySaddleCode">'Site Summary'!$C$35</definedName>
    <definedName name="MatLeadValleySaddleColour">'Site Summary'!$B$35</definedName>
    <definedName name="MatLeadValleySaddleDesc">'Site Summary'!$D$35</definedName>
    <definedName name="MatLeadValleySaddleManufacturer">'Site Summary'!$A$35</definedName>
    <definedName name="MatLeadValleySaddlePerText">'Site Summary'!$G$35</definedName>
    <definedName name="MatLeadValleySaddlePrice">'Site Summary'!$F$35</definedName>
    <definedName name="MatP10135C0Code">'Site Summary'!$C$15</definedName>
    <definedName name="MatP10135C0Colour">'Site Summary'!$B$15</definedName>
    <definedName name="MatP10135C0Desc">'Site Summary'!$D$15</definedName>
    <definedName name="MatP10135C0Manufacturer">'Site Summary'!$A$15</definedName>
    <definedName name="MatP10135C0PerText">'Site Summary'!$G$15</definedName>
    <definedName name="MatP10135C0Price">'Site Summary'!$F$15</definedName>
    <definedName name="MatP8281C0Code">'Site Summary'!$C$38</definedName>
    <definedName name="MatP8281C0Colour">'Site Summary'!$B$38</definedName>
    <definedName name="MatP8281C0Desc">'Site Summary'!$D$38</definedName>
    <definedName name="MatP8281C0Manufacturer">'Site Summary'!$A$38</definedName>
    <definedName name="MatP8281C0PerText">'Site Summary'!$G$38</definedName>
    <definedName name="MatP8281C0Price">'Site Summary'!$F$38</definedName>
    <definedName name="MatP8624C0Code">'Site Summary'!$C$39</definedName>
    <definedName name="MatP8624C0Colour">'Site Summary'!$B$39</definedName>
    <definedName name="MatP8624C0Desc">'Site Summary'!$D$39</definedName>
    <definedName name="MatP8624C0Manufacturer">'Site Summary'!$A$39</definedName>
    <definedName name="MatP8624C0PerText">'Site Summary'!$G$39</definedName>
    <definedName name="MatP8624C0Price">'Site Summary'!$F$39</definedName>
    <definedName name="MatP8815C0Code">'Site Summary'!$C$13</definedName>
    <definedName name="MatP8815C0Colour">'Site Summary'!$B$13</definedName>
    <definedName name="MatP8815C0Desc">'Site Summary'!$D$13</definedName>
    <definedName name="MatP8815C0Manufacturer">'Site Summary'!$A$13</definedName>
    <definedName name="MatP8815C0PerText">'Site Summary'!$G$13</definedName>
    <definedName name="MatP8815C0Price">'Site Summary'!$F$13</definedName>
    <definedName name="MatP8820C20Code">'Site Summary'!$C$23</definedName>
    <definedName name="MatP8820C20Colour">'Site Summary'!$B$23</definedName>
    <definedName name="MatP8820C20Desc">'Site Summary'!$D$23</definedName>
    <definedName name="MatP8820C20Manufacturer">'Site Summary'!$A$23</definedName>
    <definedName name="MatP8820C20PerText">'Site Summary'!$G$23</definedName>
    <definedName name="MatP8820C20Price">'Site Summary'!$F$23</definedName>
    <definedName name="MatP8821C20Code">'Site Summary'!$C$24</definedName>
    <definedName name="MatP8821C20Colour">'Site Summary'!$B$24</definedName>
    <definedName name="MatP8821C20Desc">'Site Summary'!$D$24</definedName>
    <definedName name="MatP8821C20Manufacturer">'Site Summary'!$A$24</definedName>
    <definedName name="MatP8821C20PerText">'Site Summary'!$G$24</definedName>
    <definedName name="MatP8821C20Price">'Site Summary'!$F$24</definedName>
    <definedName name="MatP8826C539Code">'Site Summary'!$C$29</definedName>
    <definedName name="MatP8826C539Colour">'Site Summary'!$B$29</definedName>
    <definedName name="MatP8826C539Desc">'Site Summary'!$D$29</definedName>
    <definedName name="MatP8826C539Manufacturer">'Site Summary'!$A$29</definedName>
    <definedName name="MatP8826C539PerText">'Site Summary'!$G$29</definedName>
    <definedName name="MatP8826C539Price">'Site Summary'!$F$29</definedName>
    <definedName name="MatP8830C20Code">'Site Summary'!$C$22</definedName>
    <definedName name="MatP8830C20Colour">'Site Summary'!$B$22</definedName>
    <definedName name="MatP8830C20Desc">'Site Summary'!$D$22</definedName>
    <definedName name="MatP8830C20Manufacturer">'Site Summary'!$A$22</definedName>
    <definedName name="MatP8830C20PerText">'Site Summary'!$G$22</definedName>
    <definedName name="MatP8830C20Price">'Site Summary'!$F$22</definedName>
    <definedName name="MatP8831C539Code">'Site Summary'!$C$30</definedName>
    <definedName name="MatP8831C539Colour">'Site Summary'!$B$30</definedName>
    <definedName name="MatP8831C539Desc">'Site Summary'!$D$30</definedName>
    <definedName name="MatP8831C539Manufacturer">'Site Summary'!$A$30</definedName>
    <definedName name="MatP8831C539PerText">'Site Summary'!$G$30</definedName>
    <definedName name="MatP8831C539Price">'Site Summary'!$F$30</definedName>
    <definedName name="MatP8838C92Code">'Site Summary'!$C$27</definedName>
    <definedName name="MatP8838C92Colour">'Site Summary'!$B$27</definedName>
    <definedName name="MatP8838C92Desc">'Site Summary'!$D$27</definedName>
    <definedName name="MatP8838C92Manufacturer">'Site Summary'!$A$27</definedName>
    <definedName name="MatP8838C92PerText">'Site Summary'!$G$27</definedName>
    <definedName name="MatP8838C92Price">'Site Summary'!$F$27</definedName>
    <definedName name="MatP8847C20Code">'Site Summary'!$C$18</definedName>
    <definedName name="MatP8847C20Colour">'Site Summary'!$B$18</definedName>
    <definedName name="MatP8847C20Desc">'Site Summary'!$D$18</definedName>
    <definedName name="MatP8847C20Manufacturer">'Site Summary'!$A$18</definedName>
    <definedName name="MatP8847C20PerText">'Site Summary'!$G$18</definedName>
    <definedName name="MatP8847C20Price">'Site Summary'!$F$18</definedName>
    <definedName name="MatP8857C0Code">'Site Summary'!$C$19</definedName>
    <definedName name="MatP8857C0Colour">'Site Summary'!$B$19</definedName>
    <definedName name="MatP8857C0Desc">'Site Summary'!$D$19</definedName>
    <definedName name="MatP8857C0Manufacturer">'Site Summary'!$A$19</definedName>
    <definedName name="MatP8857C0PerText">'Site Summary'!$G$19</definedName>
    <definedName name="MatP8857C0Price">'Site Summary'!$F$19</definedName>
    <definedName name="MatP8866C20Code">'Site Summary'!$C$25</definedName>
    <definedName name="MatP8866C20Colour">'Site Summary'!$B$25</definedName>
    <definedName name="MatP8866C20Desc">'Site Summary'!$D$25</definedName>
    <definedName name="MatP8866C20Manufacturer">'Site Summary'!$A$25</definedName>
    <definedName name="MatP8866C20PerText">'Site Summary'!$G$25</definedName>
    <definedName name="MatP8866C20Price">'Site Summary'!$F$25</definedName>
    <definedName name="MatP8869C0Code">'Site Summary'!$C$20</definedName>
    <definedName name="MatP8869C0Colour">'Site Summary'!$B$20</definedName>
    <definedName name="MatP8869C0Desc">'Site Summary'!$D$20</definedName>
    <definedName name="MatP8869C0Manufacturer">'Site Summary'!$A$20</definedName>
    <definedName name="MatP8869C0PerText">'Site Summary'!$G$20</definedName>
    <definedName name="MatP8869C0Price">'Site Summary'!$F$20</definedName>
    <definedName name="MatP8870C0Code">'Site Summary'!$C$14</definedName>
    <definedName name="MatP8870C0Colour">'Site Summary'!$B$14</definedName>
    <definedName name="MatP8870C0Desc">'Site Summary'!$D$14</definedName>
    <definedName name="MatP8870C0Manufacturer">'Site Summary'!$A$14</definedName>
    <definedName name="MatP8870C0PerText">'Site Summary'!$G$14</definedName>
    <definedName name="MatP8870C0Price">'Site Summary'!$F$14</definedName>
    <definedName name="MatP8872C539Code">'Site Summary'!$C$28</definedName>
    <definedName name="MatP8872C539Colour">'Site Summary'!$B$28</definedName>
    <definedName name="MatP8872C539Desc">'Site Summary'!$D$28</definedName>
    <definedName name="MatP8872C539Manufacturer">'Site Summary'!$A$28</definedName>
    <definedName name="MatP8872C539PerText">'Site Summary'!$G$28</definedName>
    <definedName name="MatP8872C539Price">'Site Summary'!$F$28</definedName>
    <definedName name="MatP8874C20Code">'Site Summary'!$C$26</definedName>
    <definedName name="MatP8874C20Colour">'Site Summary'!$B$26</definedName>
    <definedName name="MatP8874C20Desc">'Site Summary'!$D$26</definedName>
    <definedName name="MatP8874C20Manufacturer">'Site Summary'!$A$26</definedName>
    <definedName name="MatP8874C20PerText">'Site Summary'!$G$26</definedName>
    <definedName name="MatP8874C20Price">'Site Summary'!$F$26</definedName>
    <definedName name="MatP8877C0Code">'Site Summary'!$C$21</definedName>
    <definedName name="MatP8877C0Colour">'Site Summary'!$B$21</definedName>
    <definedName name="MatP8877C0Desc">'Site Summary'!$D$21</definedName>
    <definedName name="MatP8877C0Manufacturer">'Site Summary'!$A$21</definedName>
    <definedName name="MatP8877C0PerText">'Site Summary'!$G$21</definedName>
    <definedName name="MatP8877C0Price">'Site Summary'!$F$21</definedName>
    <definedName name="MatP8879C15Code">'Site Summary'!$C$17</definedName>
    <definedName name="MatP8879C15Colour">'Site Summary'!$B$17</definedName>
    <definedName name="MatP8879C15Desc">'Site Summary'!$D$17</definedName>
    <definedName name="MatP8879C15Manufacturer">'Site Summary'!$A$17</definedName>
    <definedName name="MatP8879C15PerText">'Site Summary'!$G$17</definedName>
    <definedName name="MatP8879C15Price">'Site Summary'!$F$17</definedName>
    <definedName name="MatP9008C0Code">'Site Summary'!$C$16</definedName>
    <definedName name="MatP9008C0Colour">'Site Summary'!$B$16</definedName>
    <definedName name="MatP9008C0Desc">'Site Summary'!$D$16</definedName>
    <definedName name="MatP9008C0Manufacturer">'Site Summary'!$A$16</definedName>
    <definedName name="MatP9008C0PerText">'Site Summary'!$G$16</definedName>
    <definedName name="MatP9008C0Price">'Site Summary'!$F$16</definedName>
    <definedName name="MatP9066C92Code">'Site Summary'!$C$33</definedName>
    <definedName name="MatP9066C92Colour">'Site Summary'!$B$33</definedName>
    <definedName name="MatP9066C92Desc">'Site Summary'!$D$33</definedName>
    <definedName name="MatP9066C92Manufacturer">'Site Summary'!$A$33</definedName>
    <definedName name="MatP9066C92PerText">'Site Summary'!$G$33</definedName>
    <definedName name="MatP9066C92Price">'Site Summary'!$F$33</definedName>
    <definedName name="MatP9100C0Code">'Site Summary'!$C$32</definedName>
    <definedName name="MatP9100C0Colour">'Site Summary'!$B$32</definedName>
    <definedName name="MatP9100C0Desc">'Site Summary'!$D$32</definedName>
    <definedName name="MatP9100C0Manufacturer">'Site Summary'!$A$32</definedName>
    <definedName name="MatP9100C0PerText">'Site Summary'!$G$32</definedName>
    <definedName name="MatP9100C0Price">'Site Summary'!$F$32</definedName>
    <definedName name="MatP9318C0Code">'Site Summary'!$C$31</definedName>
    <definedName name="MatP9318C0Colour">'Site Summary'!$B$31</definedName>
    <definedName name="MatP9318C0Desc">'Site Summary'!$D$31</definedName>
    <definedName name="MatP9318C0Manufacturer">'Site Summary'!$A$31</definedName>
    <definedName name="MatP9318C0PerText">'Site Summary'!$G$31</definedName>
    <definedName name="MatP9318C0Price">'Site Summary'!$F$31</definedName>
    <definedName name="PartyWall" localSheetId="4">'ALN-END-Main Roof'!$B$14</definedName>
    <definedName name="PartyWall" localSheetId="6">'ALN-MID-Main Roof'!$B$12</definedName>
    <definedName name="PartyWall" localSheetId="14">'HNB-END-Main Roof'!$B$14</definedName>
    <definedName name="PartyWall" localSheetId="16">'HNB-MID-Main Roof'!$B$12</definedName>
    <definedName name="PartyWall" localSheetId="18">'HNB-SMI-Main Roof'!$B$14</definedName>
    <definedName name="PartyWall" localSheetId="25">'MSL-END-Main Roof'!$B$14</definedName>
    <definedName name="PartyWall" localSheetId="27">'MSL-MID-Main Roof'!$B$12</definedName>
    <definedName name="PartyWall" localSheetId="29">'MSL-SMI-Main Roof'!$B$14</definedName>
    <definedName name="PartyWall" localSheetId="37">'RUF-SMI-Main Roof'!$B$14</definedName>
    <definedName name="PartyWall" localSheetId="40">'SOU-END-Main Roof'!$B$17</definedName>
    <definedName name="PartyWall" localSheetId="42">'SOU-MID-Main Roof'!$B$17</definedName>
    <definedName name="PartyWall" localSheetId="44">'SOU-SMI-Main Roof'!$B$17</definedName>
    <definedName name="PartyWall" localSheetId="54">'Z-GTWN6.7-Garage'!$B$14</definedName>
    <definedName name="PartyWall" localSheetId="55">'Z-GTWNPYR-Garage'!$B$12</definedName>
    <definedName name="PlotSummary">'Job Summary'!$B$8</definedName>
    <definedName name="RafterSpacing" localSheetId="4">'ALN-END-Main Roof'!$B$15</definedName>
    <definedName name="RafterSpacing" localSheetId="5">'ALN-END-Porch (Lean to)'!$B$14</definedName>
    <definedName name="RafterSpacing" localSheetId="6">'ALN-MID-Main Roof'!$B$13</definedName>
    <definedName name="RafterSpacing" localSheetId="7">'ALN-MID-Porch (Lean to)'!$B$14</definedName>
    <definedName name="RafterSpacing" localSheetId="8">'CHE-Main Roof'!$B$14</definedName>
    <definedName name="RafterSpacing" localSheetId="9">'CHE-Porch (Gable)'!$B$15</definedName>
    <definedName name="RafterSpacing" localSheetId="10">'CLN-Main Roof'!$B$15</definedName>
    <definedName name="RafterSpacing" localSheetId="11">'CLN-Porch (Gable)'!$B$15</definedName>
    <definedName name="RafterSpacing" localSheetId="12">'CLY-Main Roof'!$B$14</definedName>
    <definedName name="RafterSpacing" localSheetId="13">'CLY-Porch (Gable)'!$B$15</definedName>
    <definedName name="RafterSpacing" localSheetId="14">'HNB-END-Main Roof'!$B$15</definedName>
    <definedName name="RafterSpacing" localSheetId="15">'HNB-END-Porch (Lean to)'!$B$14</definedName>
    <definedName name="RafterSpacing" localSheetId="16">'HNB-MID-Main Roof'!$B$13</definedName>
    <definedName name="RafterSpacing" localSheetId="17">'HNB-MID-Porch (Lean to)'!$B$14</definedName>
    <definedName name="RafterSpacing" localSheetId="18">'HNB-SMI-Main Roof'!$B$15</definedName>
    <definedName name="RafterSpacing" localSheetId="19">'HNB-SMI-Porch (Lean to)'!$B$14</definedName>
    <definedName name="RafterSpacing" localSheetId="20">'HNB-SMI-Porch (Lean to)(1)'!$B$14</definedName>
    <definedName name="RafterSpacing" localSheetId="21">'HTF-Main Roof'!$B$15</definedName>
    <definedName name="RafterSpacing" localSheetId="22">'HTF-Porch (Lean to)'!$B$15</definedName>
    <definedName name="RafterSpacing" localSheetId="23">'KND-Main Roof'!$B$15</definedName>
    <definedName name="RafterSpacing" localSheetId="24">'KND-Porch (Lean to)'!$B$15</definedName>
    <definedName name="RafterSpacing" localSheetId="25">'MSL-END-Main Roof'!$B$15</definedName>
    <definedName name="RafterSpacing" localSheetId="26">'MSL-END-Porch (Lean to)'!$B$14</definedName>
    <definedName name="RafterSpacing" localSheetId="27">'MSL-MID-Main Roof'!$B$13</definedName>
    <definedName name="RafterSpacing" localSheetId="28">'MSL-MID-Porch (Lean to)'!$B$14</definedName>
    <definedName name="RafterSpacing" localSheetId="29">'MSL-SMI-Main Roof'!$B$15</definedName>
    <definedName name="RafterSpacing" localSheetId="30">'MSL-SMI-Porch (Lean to)'!$B$14</definedName>
    <definedName name="RafterSpacing" localSheetId="31">'MSL-SMI-Porch (Lean to)(1)'!$B$14</definedName>
    <definedName name="RafterSpacing" localSheetId="34">'ROS-Lower Level'!$B$15</definedName>
    <definedName name="RafterSpacing" localSheetId="32">'ROS-Main Roof'!$B$15</definedName>
    <definedName name="RafterSpacing" localSheetId="33">'ROS-Porch (Gable)'!$B$15</definedName>
    <definedName name="RafterSpacing" localSheetId="36">'RUF-DET-Lower Level'!$B$14</definedName>
    <definedName name="RafterSpacing" localSheetId="35">'RUF-DET-Main Roof'!$B$14</definedName>
    <definedName name="RafterSpacing" localSheetId="38">'RUF-SMI-Lower Level'!$B$14</definedName>
    <definedName name="RafterSpacing" localSheetId="39">'RUF-SMI-Lower Level(1)'!$B$14</definedName>
    <definedName name="RafterSpacing" localSheetId="37">'RUF-SMI-Main Roof'!$B$15</definedName>
    <definedName name="RafterSpacing" localSheetId="40">'SOU-END-Main Roof'!$B$18</definedName>
    <definedName name="RafterSpacing" localSheetId="41">'SOU-END-Porch (Lean to)'!$B$14</definedName>
    <definedName name="RafterSpacing" localSheetId="42">'SOU-MID-Main Roof'!$B$18</definedName>
    <definedName name="RafterSpacing" localSheetId="43">'SOU-MID-Porch (Lean to)'!$B$14</definedName>
    <definedName name="RafterSpacing" localSheetId="44">'SOU-SMI-Main Roof'!$B$18</definedName>
    <definedName name="RafterSpacing" localSheetId="45">'SOU-SMI-Porch (Lean to)'!$B$14</definedName>
    <definedName name="RafterSpacing" localSheetId="46">'TIV-Main Roof'!$B$14</definedName>
    <definedName name="RafterSpacing" localSheetId="47">'TIV-Porch (Gable)'!$B$15</definedName>
    <definedName name="RafterSpacing" localSheetId="48">'WIN-Main Roof'!$B$15</definedName>
    <definedName name="RafterSpacing" localSheetId="49">'WIN-Porch (Gable)'!$B$15</definedName>
    <definedName name="RafterSpacing" localSheetId="50">'Z-GDBL6.7-Garage'!$B$14</definedName>
    <definedName name="RafterSpacing" localSheetId="51">'Z-GDBLHIP-Garage'!$B$13</definedName>
    <definedName name="RafterSpacing" localSheetId="52">'Z-GDBLPYR-Garage'!$B$12</definedName>
    <definedName name="RafterSpacing" localSheetId="53">'Z-GSNG3.5-Garage'!$B$14</definedName>
    <definedName name="RafterSpacing" localSheetId="54">'Z-GTWN6.7-Garage'!$B$15</definedName>
    <definedName name="RafterSpacing" localSheetId="55">'Z-GTWNPYR-Garage'!$B$13</definedName>
    <definedName name="RightVerge" localSheetId="4">'ALN-END-Main Roof'!$B$12</definedName>
    <definedName name="RightVerge" localSheetId="5">'ALN-END-Porch (Lean to)'!$B$13</definedName>
    <definedName name="RightVerge" localSheetId="7">'ALN-MID-Porch (Lean to)'!$B$13</definedName>
    <definedName name="RightVerge" localSheetId="8">'CHE-Main Roof'!$B$12</definedName>
    <definedName name="RightVerge" localSheetId="9">'CHE-Porch (Gable)'!$B$12</definedName>
    <definedName name="RightVerge" localSheetId="10">'CLN-Main Roof'!$B$12</definedName>
    <definedName name="RightVerge" localSheetId="11">'CLN-Porch (Gable)'!$B$12</definedName>
    <definedName name="RightVerge" localSheetId="12">'CLY-Main Roof'!$B$12</definedName>
    <definedName name="RightVerge" localSheetId="13">'CLY-Porch (Gable)'!$B$12</definedName>
    <definedName name="RightVerge" localSheetId="14">'HNB-END-Main Roof'!$B$12</definedName>
    <definedName name="RightVerge" localSheetId="15">'HNB-END-Porch (Lean to)'!$B$13</definedName>
    <definedName name="RightVerge" localSheetId="17">'HNB-MID-Porch (Lean to)'!$B$13</definedName>
    <definedName name="RightVerge" localSheetId="18">'HNB-SMI-Main Roof'!$B$12</definedName>
    <definedName name="RightVerge" localSheetId="19">'HNB-SMI-Porch (Lean to)'!$B$13</definedName>
    <definedName name="RightVerge" localSheetId="20">'HNB-SMI-Porch (Lean to)(1)'!$B$13</definedName>
    <definedName name="RightVerge" localSheetId="21">'HTF-Main Roof'!$B$12</definedName>
    <definedName name="RightVerge" localSheetId="22">'HTF-Porch (Lean to)'!$B$13</definedName>
    <definedName name="RightVerge" localSheetId="23">'KND-Main Roof'!$B$12</definedName>
    <definedName name="RightVerge" localSheetId="24">'KND-Porch (Lean to)'!$B$13</definedName>
    <definedName name="RightVerge" localSheetId="25">'MSL-END-Main Roof'!$B$12</definedName>
    <definedName name="RightVerge" localSheetId="26">'MSL-END-Porch (Lean to)'!$B$13</definedName>
    <definedName name="RightVerge" localSheetId="28">'MSL-MID-Porch (Lean to)'!$B$13</definedName>
    <definedName name="RightVerge" localSheetId="29">'MSL-SMI-Main Roof'!$B$12</definedName>
    <definedName name="RightVerge" localSheetId="30">'MSL-SMI-Porch (Lean to)'!$B$13</definedName>
    <definedName name="RightVerge" localSheetId="31">'MSL-SMI-Porch (Lean to)(1)'!$B$13</definedName>
    <definedName name="RightVerge" localSheetId="34">'ROS-Lower Level'!$B$13</definedName>
    <definedName name="RightVerge" localSheetId="32">'ROS-Main Roof'!$B$12</definedName>
    <definedName name="RightVerge" localSheetId="33">'ROS-Porch (Gable)'!$B$12</definedName>
    <definedName name="RightVerge" localSheetId="36">'RUF-DET-Lower Level'!$B$13</definedName>
    <definedName name="RightVerge" localSheetId="35">'RUF-DET-Main Roof'!$B$12</definedName>
    <definedName name="RightVerge" localSheetId="38">'RUF-SMI-Lower Level'!$B$13</definedName>
    <definedName name="RightVerge" localSheetId="39">'RUF-SMI-Lower Level(1)'!$B$13</definedName>
    <definedName name="RightVerge" localSheetId="37">'RUF-SMI-Main Roof'!$B$12</definedName>
    <definedName name="RightVerge" localSheetId="40">'SOU-END-Main Roof'!$B$13</definedName>
    <definedName name="RightVerge" localSheetId="41">'SOU-END-Porch (Lean to)'!$B$13</definedName>
    <definedName name="RightVerge" localSheetId="42">'SOU-MID-Main Roof'!$B$13</definedName>
    <definedName name="RightVerge" localSheetId="43">'SOU-MID-Porch (Lean to)'!$B$13</definedName>
    <definedName name="RightVerge" localSheetId="44">'SOU-SMI-Main Roof'!$B$13</definedName>
    <definedName name="RightVerge" localSheetId="45">'SOU-SMI-Porch (Lean to)'!$B$13</definedName>
    <definedName name="RightVerge" localSheetId="46">'TIV-Main Roof'!$B$12</definedName>
    <definedName name="RightVerge" localSheetId="47">'TIV-Porch (Gable)'!$B$12</definedName>
    <definedName name="RightVerge" localSheetId="48">'WIN-Main Roof'!$B$12</definedName>
    <definedName name="RightVerge" localSheetId="49">'WIN-Porch (Gable)'!$B$12</definedName>
    <definedName name="RightVerge" localSheetId="50">'Z-GDBL6.7-Garage'!$B$12</definedName>
    <definedName name="RightVerge" localSheetId="53">'Z-GSNG3.5-Garage'!$B$12</definedName>
    <definedName name="RightVerge" localSheetId="54">'Z-GTWN6.7-Garage'!$B$12</definedName>
    <definedName name="sclSchedule">'Site Summary'!$N$3</definedName>
    <definedName name="SiteDimsPitched">'Site Dimensions'!$A$10</definedName>
    <definedName name="SiteDimsVertical">'Site Dimensions'!$A$69</definedName>
    <definedName name="SiteLabour">'Site Summary'!$A$48</definedName>
    <definedName name="SiteMaterials">'Site Summary'!$A$13</definedName>
    <definedName name="SiteName">'Job Summary'!$B$3</definedName>
    <definedName name="SitePivotTable">'Site Schedule'!$A$7</definedName>
    <definedName name="SiteReference">'Job Summary'!$B$2</definedName>
    <definedName name="SiteScheduleTotal">'Site Schedule'!$G$37</definedName>
    <definedName name="SiteSummaryLabourTotal">'Site Summary'!$H$65</definedName>
    <definedName name="SiteSummaryMaterialTotal">'Site Summary'!$H$41</definedName>
    <definedName name="Specification" localSheetId="4">'ALN-END-Main Roof'!$A$21</definedName>
    <definedName name="Specification" localSheetId="5">'ALN-END-Porch (Lean to)'!$A$20</definedName>
    <definedName name="Specification" localSheetId="6">'ALN-MID-Main Roof'!$A$19</definedName>
    <definedName name="Specification" localSheetId="7">'ALN-MID-Porch (Lean to)'!$A$20</definedName>
    <definedName name="Specification" localSheetId="8">'CHE-Main Roof'!$A$20</definedName>
    <definedName name="Specification" localSheetId="9">'CHE-Porch (Gable)'!$A$21</definedName>
    <definedName name="Specification" localSheetId="10">'CLN-Main Roof'!$A$21</definedName>
    <definedName name="Specification" localSheetId="11">'CLN-Porch (Gable)'!$A$21</definedName>
    <definedName name="Specification" localSheetId="12">'CLY-Main Roof'!$A$20</definedName>
    <definedName name="Specification" localSheetId="13">'CLY-Porch (Gable)'!$A$21</definedName>
    <definedName name="Specification" localSheetId="14">'HNB-END-Main Roof'!$A$21</definedName>
    <definedName name="Specification" localSheetId="15">'HNB-END-Porch (Lean to)'!$A$20</definedName>
    <definedName name="Specification" localSheetId="16">'HNB-MID-Main Roof'!$A$19</definedName>
    <definedName name="Specification" localSheetId="17">'HNB-MID-Porch (Lean to)'!$A$20</definedName>
    <definedName name="Specification" localSheetId="18">'HNB-SMI-Main Roof'!$A$21</definedName>
    <definedName name="Specification" localSheetId="19">'HNB-SMI-Porch (Lean to)'!$A$20</definedName>
    <definedName name="Specification" localSheetId="20">'HNB-SMI-Porch (Lean to)(1)'!$A$20</definedName>
    <definedName name="Specification" localSheetId="21">'HTF-Main Roof'!$A$21</definedName>
    <definedName name="Specification" localSheetId="22">'HTF-Porch (Lean to)'!$A$21</definedName>
    <definedName name="Specification" localSheetId="23">'KND-Main Roof'!$A$21</definedName>
    <definedName name="Specification" localSheetId="24">'KND-Porch (Lean to)'!$A$21</definedName>
    <definedName name="Specification" localSheetId="25">'MSL-END-Main Roof'!$A$21</definedName>
    <definedName name="Specification" localSheetId="26">'MSL-END-Porch (Lean to)'!$A$20</definedName>
    <definedName name="Specification" localSheetId="27">'MSL-MID-Main Roof'!$A$19</definedName>
    <definedName name="Specification" localSheetId="28">'MSL-MID-Porch (Lean to)'!$A$20</definedName>
    <definedName name="Specification" localSheetId="29">'MSL-SMI-Main Roof'!$A$21</definedName>
    <definedName name="Specification" localSheetId="30">'MSL-SMI-Porch (Lean to)'!$A$20</definedName>
    <definedName name="Specification" localSheetId="31">'MSL-SMI-Porch (Lean to)(1)'!$A$20</definedName>
    <definedName name="Specification" localSheetId="34">'ROS-Lower Level'!$A$21</definedName>
    <definedName name="Specification" localSheetId="32">'ROS-Main Roof'!$A$21</definedName>
    <definedName name="Specification" localSheetId="33">'ROS-Porch (Gable)'!$A$21</definedName>
    <definedName name="Specification" localSheetId="36">'RUF-DET-Lower Level'!$A$20</definedName>
    <definedName name="Specification" localSheetId="35">'RUF-DET-Main Roof'!$A$20</definedName>
    <definedName name="Specification" localSheetId="38">'RUF-SMI-Lower Level'!$A$20</definedName>
    <definedName name="Specification" localSheetId="39">'RUF-SMI-Lower Level(1)'!$A$20</definedName>
    <definedName name="Specification" localSheetId="37">'RUF-SMI-Main Roof'!$A$21</definedName>
    <definedName name="Specification" localSheetId="40">'SOU-END-Main Roof'!$A$24</definedName>
    <definedName name="Specification" localSheetId="41">'SOU-END-Porch (Lean to)'!$A$20</definedName>
    <definedName name="Specification" localSheetId="42">'SOU-MID-Main Roof'!$A$24</definedName>
    <definedName name="Specification" localSheetId="43">'SOU-MID-Porch (Lean to)'!$A$20</definedName>
    <definedName name="Specification" localSheetId="44">'SOU-SMI-Main Roof'!$A$24</definedName>
    <definedName name="Specification" localSheetId="45">'SOU-SMI-Porch (Lean to)'!$A$20</definedName>
    <definedName name="Specification" localSheetId="46">'TIV-Main Roof'!$A$20</definedName>
    <definedName name="Specification" localSheetId="47">'TIV-Porch (Gable)'!$A$21</definedName>
    <definedName name="Specification" localSheetId="48">'WIN-Main Roof'!$A$21</definedName>
    <definedName name="Specification" localSheetId="49">'WIN-Porch (Gable)'!$A$21</definedName>
    <definedName name="Specification" localSheetId="50">'Z-GDBL6.7-Garage'!$A$20</definedName>
    <definedName name="Specification" localSheetId="51">'Z-GDBLHIP-Garage'!$A$19</definedName>
    <definedName name="Specification" localSheetId="52">'Z-GDBLPYR-Garage'!$A$18</definedName>
    <definedName name="Specification" localSheetId="53">'Z-GSNG3.5-Garage'!$A$20</definedName>
    <definedName name="Specification" localSheetId="54">'Z-GTWN6.7-Garage'!$A$21</definedName>
    <definedName name="Specification" localSheetId="55">'Z-GTWNPYR-Garage'!$A$19</definedName>
    <definedName name="Specification">#REF!</definedName>
    <definedName name="TopCourse" localSheetId="5">'ALN-END-Porch (Lean to)'!$B$11</definedName>
    <definedName name="TopCourse" localSheetId="7">'ALN-MID-Porch (Lean to)'!$B$11</definedName>
    <definedName name="TopCourse" localSheetId="15">'HNB-END-Porch (Lean to)'!$B$11</definedName>
    <definedName name="TopCourse" localSheetId="17">'HNB-MID-Porch (Lean to)'!$B$11</definedName>
    <definedName name="TopCourse" localSheetId="19">'HNB-SMI-Porch (Lean to)'!$B$11</definedName>
    <definedName name="TopCourse" localSheetId="20">'HNB-SMI-Porch (Lean to)(1)'!$B$11</definedName>
    <definedName name="TopCourse" localSheetId="22">'HTF-Porch (Lean to)'!$B$11</definedName>
    <definedName name="TopCourse" localSheetId="24">'KND-Porch (Lean to)'!$B$11</definedName>
    <definedName name="TopCourse" localSheetId="26">'MSL-END-Porch (Lean to)'!$B$11</definedName>
    <definedName name="TopCourse" localSheetId="28">'MSL-MID-Porch (Lean to)'!$B$11</definedName>
    <definedName name="TopCourse" localSheetId="30">'MSL-SMI-Porch (Lean to)'!$B$11</definedName>
    <definedName name="TopCourse" localSheetId="31">'MSL-SMI-Porch (Lean to)(1)'!$B$11</definedName>
    <definedName name="TopCourse" localSheetId="34">'ROS-Lower Level'!$B$11</definedName>
    <definedName name="TopCourse" localSheetId="36">'RUF-DET-Lower Level'!$B$11</definedName>
    <definedName name="TopCourse" localSheetId="38">'RUF-SMI-Lower Level'!$B$11</definedName>
    <definedName name="TopCourse" localSheetId="39">'RUF-SMI-Lower Level(1)'!$B$11</definedName>
    <definedName name="TopCourse" localSheetId="40">'SOU-END-Main Roof'!$B$11</definedName>
    <definedName name="TopCourse" localSheetId="41">'SOU-END-Porch (Lean to)'!$B$11</definedName>
    <definedName name="TopCourse" localSheetId="42">'SOU-MID-Main Roof'!$B$11</definedName>
    <definedName name="TopCourse" localSheetId="43">'SOU-MID-Porch (Lean to)'!$B$11</definedName>
    <definedName name="TopCourse" localSheetId="44">'SOU-SMI-Main Roof'!$B$11</definedName>
    <definedName name="TopCourse" localSheetId="45">'SOU-SMI-Porch (Lean to)'!$B$11</definedName>
    <definedName name="Valley" localSheetId="10">'CLN-Main Roof'!$B$13</definedName>
    <definedName name="Valley" localSheetId="21">'HTF-Main Roof'!$B$13</definedName>
    <definedName name="Valley" localSheetId="23">'KND-Main Roof'!$B$13</definedName>
    <definedName name="Valley" localSheetId="32">'ROS-Main Roof'!$B$13</definedName>
    <definedName name="Valley" localSheetId="40">'SOU-END-Main Roof'!$B$14</definedName>
    <definedName name="Valley" localSheetId="42">'SOU-MID-Main Roof'!$B$14</definedName>
    <definedName name="Valley" localSheetId="44">'SOU-SMI-Main Roof'!$B$14</definedName>
    <definedName name="Valley" localSheetId="48">'WIN-Main Roof'!$B$13</definedName>
  </definedNames>
  <calcPr calcId="191029" concurrentManualCount="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9" i="5" l="1"/>
  <c r="F56" i="66"/>
  <c r="D56" i="66"/>
  <c r="G56" i="66" s="1"/>
  <c r="A56" i="66"/>
  <c r="E55" i="66"/>
  <c r="F55" i="66"/>
  <c r="D55" i="66"/>
  <c r="G55" i="66" s="1"/>
  <c r="A55" i="66"/>
  <c r="E54" i="66"/>
  <c r="F54" i="66"/>
  <c r="D54" i="66"/>
  <c r="G54" i="66" s="1"/>
  <c r="A54" i="66"/>
  <c r="E53" i="66"/>
  <c r="F53" i="66"/>
  <c r="D53" i="66"/>
  <c r="G53" i="66" s="1"/>
  <c r="A53" i="66"/>
  <c r="F46" i="66"/>
  <c r="E46" i="66"/>
  <c r="G46" i="66" s="1"/>
  <c r="C46" i="66"/>
  <c r="B46" i="66"/>
  <c r="A46" i="66"/>
  <c r="F45" i="66"/>
  <c r="E45" i="66"/>
  <c r="G45" i="66" s="1"/>
  <c r="C45" i="66"/>
  <c r="B45" i="66"/>
  <c r="A45" i="66"/>
  <c r="F44" i="66"/>
  <c r="E44" i="66"/>
  <c r="G44" i="66" s="1"/>
  <c r="C44" i="66"/>
  <c r="B44" i="66"/>
  <c r="A44" i="66"/>
  <c r="F43" i="66"/>
  <c r="E43" i="66"/>
  <c r="G43" i="66" s="1"/>
  <c r="C43" i="66"/>
  <c r="B43" i="66"/>
  <c r="A43" i="66"/>
  <c r="F42" i="66"/>
  <c r="E42" i="66"/>
  <c r="G42" i="66" s="1"/>
  <c r="C42" i="66"/>
  <c r="B42" i="66"/>
  <c r="A42" i="66"/>
  <c r="F41" i="66"/>
  <c r="E41" i="66"/>
  <c r="G41" i="66" s="1"/>
  <c r="C41" i="66"/>
  <c r="B41" i="66"/>
  <c r="A41" i="66"/>
  <c r="F40" i="66"/>
  <c r="E40" i="66"/>
  <c r="G40" i="66" s="1"/>
  <c r="C40" i="66"/>
  <c r="B40" i="66"/>
  <c r="A40" i="66"/>
  <c r="F39" i="66"/>
  <c r="E39" i="66"/>
  <c r="G39" i="66" s="1"/>
  <c r="C39" i="66"/>
  <c r="B39" i="66"/>
  <c r="A39" i="66"/>
  <c r="F38" i="66"/>
  <c r="E38" i="66"/>
  <c r="G38" i="66" s="1"/>
  <c r="C38" i="66"/>
  <c r="B38" i="66"/>
  <c r="A38" i="66"/>
  <c r="F37" i="66"/>
  <c r="E37" i="66"/>
  <c r="G37" i="66" s="1"/>
  <c r="C37" i="66"/>
  <c r="B37" i="66"/>
  <c r="A37" i="66"/>
  <c r="F36" i="66"/>
  <c r="E36" i="66"/>
  <c r="G36" i="66" s="1"/>
  <c r="C36" i="66"/>
  <c r="B36" i="66"/>
  <c r="A36" i="66"/>
  <c r="F35" i="66"/>
  <c r="E35" i="66"/>
  <c r="G35" i="66" s="1"/>
  <c r="C35" i="66"/>
  <c r="B35" i="66"/>
  <c r="A35" i="66"/>
  <c r="F34" i="66"/>
  <c r="E34" i="66"/>
  <c r="G34" i="66" s="1"/>
  <c r="C34" i="66"/>
  <c r="B34" i="66"/>
  <c r="A34" i="66"/>
  <c r="F33" i="66"/>
  <c r="E33" i="66"/>
  <c r="G33" i="66" s="1"/>
  <c r="C33" i="66"/>
  <c r="B33" i="66"/>
  <c r="A33" i="66"/>
  <c r="E58" i="5"/>
  <c r="F63" i="65"/>
  <c r="D63" i="65"/>
  <c r="G63" i="65" s="1"/>
  <c r="A63" i="65"/>
  <c r="E62" i="65"/>
  <c r="F62" i="65"/>
  <c r="D62" i="65"/>
  <c r="G62" i="65" s="1"/>
  <c r="A62" i="65"/>
  <c r="E61" i="65"/>
  <c r="F61" i="65"/>
  <c r="D61" i="65"/>
  <c r="G61" i="65" s="1"/>
  <c r="A61" i="65"/>
  <c r="E60" i="65"/>
  <c r="F60" i="65"/>
  <c r="D60" i="65"/>
  <c r="G60" i="65" s="1"/>
  <c r="A60" i="65"/>
  <c r="E59" i="65"/>
  <c r="F59" i="65"/>
  <c r="D59" i="65"/>
  <c r="G59" i="65" s="1"/>
  <c r="A59" i="65"/>
  <c r="F52" i="65"/>
  <c r="E52" i="65"/>
  <c r="G52" i="65" s="1"/>
  <c r="C52" i="65"/>
  <c r="B52" i="65"/>
  <c r="A52" i="65"/>
  <c r="F51" i="65"/>
  <c r="E51" i="65"/>
  <c r="G51" i="65" s="1"/>
  <c r="C51" i="65"/>
  <c r="B51" i="65"/>
  <c r="A51" i="65"/>
  <c r="F50" i="65"/>
  <c r="E50" i="65"/>
  <c r="G50" i="65" s="1"/>
  <c r="C50" i="65"/>
  <c r="B50" i="65"/>
  <c r="A50" i="65"/>
  <c r="F49" i="65"/>
  <c r="E49" i="65"/>
  <c r="G49" i="65" s="1"/>
  <c r="C49" i="65"/>
  <c r="B49" i="65"/>
  <c r="A49" i="65"/>
  <c r="F48" i="65"/>
  <c r="E48" i="65"/>
  <c r="G48" i="65" s="1"/>
  <c r="C48" i="65"/>
  <c r="B48" i="65"/>
  <c r="A48" i="65"/>
  <c r="F47" i="65"/>
  <c r="E47" i="65"/>
  <c r="G47" i="65" s="1"/>
  <c r="C47" i="65"/>
  <c r="B47" i="65"/>
  <c r="A47" i="65"/>
  <c r="F46" i="65"/>
  <c r="E46" i="65"/>
  <c r="G46" i="65" s="1"/>
  <c r="C46" i="65"/>
  <c r="B46" i="65"/>
  <c r="A46" i="65"/>
  <c r="F45" i="65"/>
  <c r="E45" i="65"/>
  <c r="G45" i="65" s="1"/>
  <c r="C45" i="65"/>
  <c r="B45" i="65"/>
  <c r="A45" i="65"/>
  <c r="F44" i="65"/>
  <c r="E44" i="65"/>
  <c r="G44" i="65" s="1"/>
  <c r="C44" i="65"/>
  <c r="B44" i="65"/>
  <c r="A44" i="65"/>
  <c r="F43" i="65"/>
  <c r="E43" i="65"/>
  <c r="G43" i="65" s="1"/>
  <c r="C43" i="65"/>
  <c r="B43" i="65"/>
  <c r="A43" i="65"/>
  <c r="F42" i="65"/>
  <c r="E42" i="65"/>
  <c r="G42" i="65" s="1"/>
  <c r="C42" i="65"/>
  <c r="B42" i="65"/>
  <c r="A42" i="65"/>
  <c r="F41" i="65"/>
  <c r="E41" i="65"/>
  <c r="G41" i="65" s="1"/>
  <c r="C41" i="65"/>
  <c r="B41" i="65"/>
  <c r="A41" i="65"/>
  <c r="F40" i="65"/>
  <c r="E40" i="65"/>
  <c r="G40" i="65" s="1"/>
  <c r="C40" i="65"/>
  <c r="B40" i="65"/>
  <c r="A40" i="65"/>
  <c r="F39" i="65"/>
  <c r="E39" i="65"/>
  <c r="G39" i="65" s="1"/>
  <c r="C39" i="65"/>
  <c r="B39" i="65"/>
  <c r="A39" i="65"/>
  <c r="F38" i="65"/>
  <c r="E38" i="65"/>
  <c r="G38" i="65" s="1"/>
  <c r="C38" i="65"/>
  <c r="B38" i="65"/>
  <c r="A38" i="65"/>
  <c r="F37" i="65"/>
  <c r="E37" i="65"/>
  <c r="G37" i="65" s="1"/>
  <c r="C37" i="65"/>
  <c r="B37" i="65"/>
  <c r="A37" i="65"/>
  <c r="F36" i="65"/>
  <c r="E36" i="65"/>
  <c r="G36" i="65" s="1"/>
  <c r="C36" i="65"/>
  <c r="B36" i="65"/>
  <c r="A36" i="65"/>
  <c r="B3" i="65"/>
  <c r="B2" i="65"/>
  <c r="B1" i="65"/>
  <c r="E57" i="5"/>
  <c r="E60" i="64"/>
  <c r="F60" i="64"/>
  <c r="D60" i="64"/>
  <c r="G60" i="64" s="1"/>
  <c r="A60" i="64"/>
  <c r="E59" i="64"/>
  <c r="F59" i="64"/>
  <c r="D59" i="64"/>
  <c r="G59" i="64" s="1"/>
  <c r="A59" i="64"/>
  <c r="E58" i="64"/>
  <c r="F58" i="64"/>
  <c r="D58" i="64"/>
  <c r="G58" i="64" s="1"/>
  <c r="A58" i="64"/>
  <c r="E57" i="64"/>
  <c r="F57" i="64"/>
  <c r="D57" i="64"/>
  <c r="G57" i="64" s="1"/>
  <c r="A57" i="64"/>
  <c r="F50" i="64"/>
  <c r="E50" i="64"/>
  <c r="G50" i="64" s="1"/>
  <c r="C50" i="64"/>
  <c r="B50" i="64"/>
  <c r="A50" i="64"/>
  <c r="F49" i="64"/>
  <c r="E49" i="64"/>
  <c r="G49" i="64" s="1"/>
  <c r="C49" i="64"/>
  <c r="B49" i="64"/>
  <c r="A49" i="64"/>
  <c r="F48" i="64"/>
  <c r="E48" i="64"/>
  <c r="G48" i="64" s="1"/>
  <c r="C48" i="64"/>
  <c r="B48" i="64"/>
  <c r="A48" i="64"/>
  <c r="F47" i="64"/>
  <c r="E47" i="64"/>
  <c r="G47" i="64" s="1"/>
  <c r="C47" i="64"/>
  <c r="B47" i="64"/>
  <c r="A47" i="64"/>
  <c r="F46" i="64"/>
  <c r="E46" i="64"/>
  <c r="G46" i="64" s="1"/>
  <c r="C46" i="64"/>
  <c r="B46" i="64"/>
  <c r="A46" i="64"/>
  <c r="F45" i="64"/>
  <c r="E45" i="64"/>
  <c r="G45" i="64" s="1"/>
  <c r="C45" i="64"/>
  <c r="B45" i="64"/>
  <c r="A45" i="64"/>
  <c r="F44" i="64"/>
  <c r="E44" i="64"/>
  <c r="G44" i="64" s="1"/>
  <c r="C44" i="64"/>
  <c r="B44" i="64"/>
  <c r="A44" i="64"/>
  <c r="F43" i="64"/>
  <c r="E43" i="64"/>
  <c r="G43" i="64" s="1"/>
  <c r="C43" i="64"/>
  <c r="B43" i="64"/>
  <c r="A43" i="64"/>
  <c r="F42" i="64"/>
  <c r="E42" i="64"/>
  <c r="G42" i="64" s="1"/>
  <c r="C42" i="64"/>
  <c r="B42" i="64"/>
  <c r="A42" i="64"/>
  <c r="F41" i="64"/>
  <c r="E41" i="64"/>
  <c r="G41" i="64" s="1"/>
  <c r="C41" i="64"/>
  <c r="B41" i="64"/>
  <c r="A41" i="64"/>
  <c r="F40" i="64"/>
  <c r="E40" i="64"/>
  <c r="G40" i="64" s="1"/>
  <c r="C40" i="64"/>
  <c r="B40" i="64"/>
  <c r="A40" i="64"/>
  <c r="F39" i="64"/>
  <c r="E39" i="64"/>
  <c r="G39" i="64" s="1"/>
  <c r="C39" i="64"/>
  <c r="B39" i="64"/>
  <c r="A39" i="64"/>
  <c r="F38" i="64"/>
  <c r="E38" i="64"/>
  <c r="G38" i="64" s="1"/>
  <c r="C38" i="64"/>
  <c r="B38" i="64"/>
  <c r="A38" i="64"/>
  <c r="F37" i="64"/>
  <c r="E37" i="64"/>
  <c r="G37" i="64" s="1"/>
  <c r="C37" i="64"/>
  <c r="B37" i="64"/>
  <c r="A37" i="64"/>
  <c r="F36" i="64"/>
  <c r="E36" i="64"/>
  <c r="G36" i="64" s="1"/>
  <c r="C36" i="64"/>
  <c r="B36" i="64"/>
  <c r="A36" i="64"/>
  <c r="F35" i="64"/>
  <c r="E35" i="64"/>
  <c r="G35" i="64" s="1"/>
  <c r="C35" i="64"/>
  <c r="B35" i="64"/>
  <c r="A35" i="64"/>
  <c r="B3" i="64"/>
  <c r="B2" i="64"/>
  <c r="B1" i="64"/>
  <c r="E56" i="5"/>
  <c r="E53" i="63"/>
  <c r="F53" i="63"/>
  <c r="D53" i="63"/>
  <c r="G53" i="63" s="1"/>
  <c r="A53" i="63"/>
  <c r="E52" i="63"/>
  <c r="F52" i="63"/>
  <c r="D52" i="63"/>
  <c r="G52" i="63" s="1"/>
  <c r="A52" i="63"/>
  <c r="E51" i="63"/>
  <c r="F51" i="63"/>
  <c r="D51" i="63"/>
  <c r="G51" i="63" s="1"/>
  <c r="A51" i="63"/>
  <c r="F44" i="63"/>
  <c r="E44" i="63"/>
  <c r="G44" i="63" s="1"/>
  <c r="C44" i="63"/>
  <c r="B44" i="63"/>
  <c r="A44" i="63"/>
  <c r="F43" i="63"/>
  <c r="E43" i="63"/>
  <c r="G43" i="63" s="1"/>
  <c r="C43" i="63"/>
  <c r="B43" i="63"/>
  <c r="A43" i="63"/>
  <c r="F42" i="63"/>
  <c r="E42" i="63"/>
  <c r="G42" i="63" s="1"/>
  <c r="C42" i="63"/>
  <c r="B42" i="63"/>
  <c r="A42" i="63"/>
  <c r="F41" i="63"/>
  <c r="E41" i="63"/>
  <c r="G41" i="63" s="1"/>
  <c r="C41" i="63"/>
  <c r="B41" i="63"/>
  <c r="A41" i="63"/>
  <c r="F40" i="63"/>
  <c r="E40" i="63"/>
  <c r="G40" i="63" s="1"/>
  <c r="C40" i="63"/>
  <c r="B40" i="63"/>
  <c r="A40" i="63"/>
  <c r="F39" i="63"/>
  <c r="E39" i="63"/>
  <c r="G39" i="63" s="1"/>
  <c r="C39" i="63"/>
  <c r="B39" i="63"/>
  <c r="A39" i="63"/>
  <c r="F38" i="63"/>
  <c r="E38" i="63"/>
  <c r="G38" i="63" s="1"/>
  <c r="C38" i="63"/>
  <c r="B38" i="63"/>
  <c r="A38" i="63"/>
  <c r="F37" i="63"/>
  <c r="E37" i="63"/>
  <c r="G37" i="63" s="1"/>
  <c r="C37" i="63"/>
  <c r="B37" i="63"/>
  <c r="A37" i="63"/>
  <c r="F36" i="63"/>
  <c r="E36" i="63"/>
  <c r="G36" i="63" s="1"/>
  <c r="C36" i="63"/>
  <c r="B36" i="63"/>
  <c r="A36" i="63"/>
  <c r="F35" i="63"/>
  <c r="E35" i="63"/>
  <c r="G35" i="63" s="1"/>
  <c r="C35" i="63"/>
  <c r="B35" i="63"/>
  <c r="A35" i="63"/>
  <c r="F34" i="63"/>
  <c r="E34" i="63"/>
  <c r="G34" i="63" s="1"/>
  <c r="C34" i="63"/>
  <c r="B34" i="63"/>
  <c r="A34" i="63"/>
  <c r="F33" i="63"/>
  <c r="E33" i="63"/>
  <c r="G33" i="63" s="1"/>
  <c r="C33" i="63"/>
  <c r="B33" i="63"/>
  <c r="A33" i="63"/>
  <c r="F32" i="63"/>
  <c r="E32" i="63"/>
  <c r="G32" i="63" s="1"/>
  <c r="C32" i="63"/>
  <c r="B32" i="63"/>
  <c r="A32" i="63"/>
  <c r="B3" i="63"/>
  <c r="B2" i="63"/>
  <c r="B1" i="63"/>
  <c r="E55" i="5"/>
  <c r="E56" i="62"/>
  <c r="F56" i="62"/>
  <c r="D56" i="62"/>
  <c r="G56" i="62" s="1"/>
  <c r="A56" i="62"/>
  <c r="E55" i="62"/>
  <c r="F55" i="62"/>
  <c r="D55" i="62"/>
  <c r="G55" i="62" s="1"/>
  <c r="A55" i="62"/>
  <c r="E54" i="62"/>
  <c r="F54" i="62"/>
  <c r="D54" i="62"/>
  <c r="G54" i="62" s="1"/>
  <c r="A54" i="62"/>
  <c r="E53" i="62"/>
  <c r="F53" i="62"/>
  <c r="D53" i="62"/>
  <c r="G53" i="62" s="1"/>
  <c r="A53" i="62"/>
  <c r="F46" i="62"/>
  <c r="E46" i="62"/>
  <c r="G46" i="62" s="1"/>
  <c r="C46" i="62"/>
  <c r="B46" i="62"/>
  <c r="A46" i="62"/>
  <c r="F45" i="62"/>
  <c r="E45" i="62"/>
  <c r="G45" i="62" s="1"/>
  <c r="C45" i="62"/>
  <c r="B45" i="62"/>
  <c r="A45" i="62"/>
  <c r="F44" i="62"/>
  <c r="E44" i="62"/>
  <c r="G44" i="62" s="1"/>
  <c r="C44" i="62"/>
  <c r="B44" i="62"/>
  <c r="A44" i="62"/>
  <c r="F43" i="62"/>
  <c r="E43" i="62"/>
  <c r="G43" i="62" s="1"/>
  <c r="C43" i="62"/>
  <c r="B43" i="62"/>
  <c r="A43" i="62"/>
  <c r="F42" i="62"/>
  <c r="E42" i="62"/>
  <c r="G42" i="62" s="1"/>
  <c r="C42" i="62"/>
  <c r="B42" i="62"/>
  <c r="A42" i="62"/>
  <c r="F41" i="62"/>
  <c r="E41" i="62"/>
  <c r="G41" i="62" s="1"/>
  <c r="C41" i="62"/>
  <c r="B41" i="62"/>
  <c r="A41" i="62"/>
  <c r="F40" i="62"/>
  <c r="E40" i="62"/>
  <c r="G40" i="62" s="1"/>
  <c r="C40" i="62"/>
  <c r="B40" i="62"/>
  <c r="A40" i="62"/>
  <c r="F39" i="62"/>
  <c r="E39" i="62"/>
  <c r="G39" i="62" s="1"/>
  <c r="C39" i="62"/>
  <c r="B39" i="62"/>
  <c r="A39" i="62"/>
  <c r="F38" i="62"/>
  <c r="E38" i="62"/>
  <c r="G38" i="62" s="1"/>
  <c r="C38" i="62"/>
  <c r="B38" i="62"/>
  <c r="A38" i="62"/>
  <c r="F37" i="62"/>
  <c r="E37" i="62"/>
  <c r="G37" i="62" s="1"/>
  <c r="C37" i="62"/>
  <c r="B37" i="62"/>
  <c r="A37" i="62"/>
  <c r="F36" i="62"/>
  <c r="E36" i="62"/>
  <c r="G36" i="62" s="1"/>
  <c r="C36" i="62"/>
  <c r="B36" i="62"/>
  <c r="A36" i="62"/>
  <c r="F35" i="62"/>
  <c r="E35" i="62"/>
  <c r="G35" i="62" s="1"/>
  <c r="C35" i="62"/>
  <c r="B35" i="62"/>
  <c r="A35" i="62"/>
  <c r="F34" i="62"/>
  <c r="E34" i="62"/>
  <c r="G34" i="62" s="1"/>
  <c r="C34" i="62"/>
  <c r="B34" i="62"/>
  <c r="A34" i="62"/>
  <c r="B3" i="62"/>
  <c r="B2" i="62"/>
  <c r="B1" i="62"/>
  <c r="E54" i="5"/>
  <c r="E60" i="61"/>
  <c r="F60" i="61"/>
  <c r="D60" i="61"/>
  <c r="G60" i="61" s="1"/>
  <c r="A60" i="61"/>
  <c r="E59" i="61"/>
  <c r="F59" i="61"/>
  <c r="D59" i="61"/>
  <c r="G59" i="61" s="1"/>
  <c r="A59" i="61"/>
  <c r="E58" i="61"/>
  <c r="F58" i="61"/>
  <c r="D58" i="61"/>
  <c r="G58" i="61" s="1"/>
  <c r="A58" i="61"/>
  <c r="E57" i="61"/>
  <c r="F57" i="61"/>
  <c r="D57" i="61"/>
  <c r="G57" i="61" s="1"/>
  <c r="A57" i="61"/>
  <c r="F50" i="61"/>
  <c r="E50" i="61"/>
  <c r="G50" i="61" s="1"/>
  <c r="C50" i="61"/>
  <c r="B50" i="61"/>
  <c r="A50" i="61"/>
  <c r="F49" i="61"/>
  <c r="E49" i="61"/>
  <c r="G49" i="61" s="1"/>
  <c r="C49" i="61"/>
  <c r="B49" i="61"/>
  <c r="A49" i="61"/>
  <c r="F48" i="61"/>
  <c r="E48" i="61"/>
  <c r="G48" i="61" s="1"/>
  <c r="C48" i="61"/>
  <c r="B48" i="61"/>
  <c r="A48" i="61"/>
  <c r="F47" i="61"/>
  <c r="E47" i="61"/>
  <c r="G47" i="61" s="1"/>
  <c r="C47" i="61"/>
  <c r="B47" i="61"/>
  <c r="A47" i="61"/>
  <c r="F46" i="61"/>
  <c r="E46" i="61"/>
  <c r="G46" i="61" s="1"/>
  <c r="C46" i="61"/>
  <c r="B46" i="61"/>
  <c r="A46" i="61"/>
  <c r="F45" i="61"/>
  <c r="E45" i="61"/>
  <c r="G45" i="61" s="1"/>
  <c r="C45" i="61"/>
  <c r="B45" i="61"/>
  <c r="A45" i="61"/>
  <c r="F44" i="61"/>
  <c r="E44" i="61"/>
  <c r="G44" i="61" s="1"/>
  <c r="C44" i="61"/>
  <c r="B44" i="61"/>
  <c r="A44" i="61"/>
  <c r="F43" i="61"/>
  <c r="E43" i="61"/>
  <c r="G43" i="61" s="1"/>
  <c r="C43" i="61"/>
  <c r="B43" i="61"/>
  <c r="A43" i="61"/>
  <c r="F42" i="61"/>
  <c r="E42" i="61"/>
  <c r="G42" i="61" s="1"/>
  <c r="C42" i="61"/>
  <c r="B42" i="61"/>
  <c r="A42" i="61"/>
  <c r="F41" i="61"/>
  <c r="E41" i="61"/>
  <c r="G41" i="61" s="1"/>
  <c r="C41" i="61"/>
  <c r="B41" i="61"/>
  <c r="A41" i="61"/>
  <c r="F40" i="61"/>
  <c r="E40" i="61"/>
  <c r="G40" i="61" s="1"/>
  <c r="C40" i="61"/>
  <c r="B40" i="61"/>
  <c r="A40" i="61"/>
  <c r="F39" i="61"/>
  <c r="E39" i="61"/>
  <c r="G39" i="61" s="1"/>
  <c r="C39" i="61"/>
  <c r="B39" i="61"/>
  <c r="A39" i="61"/>
  <c r="F38" i="61"/>
  <c r="E38" i="61"/>
  <c r="G38" i="61" s="1"/>
  <c r="C38" i="61"/>
  <c r="B38" i="61"/>
  <c r="A38" i="61"/>
  <c r="F37" i="61"/>
  <c r="E37" i="61"/>
  <c r="G37" i="61" s="1"/>
  <c r="C37" i="61"/>
  <c r="B37" i="61"/>
  <c r="A37" i="61"/>
  <c r="F36" i="61"/>
  <c r="E36" i="61"/>
  <c r="G36" i="61" s="1"/>
  <c r="C36" i="61"/>
  <c r="B36" i="61"/>
  <c r="A36" i="61"/>
  <c r="F35" i="61"/>
  <c r="E35" i="61"/>
  <c r="G35" i="61" s="1"/>
  <c r="C35" i="61"/>
  <c r="B35" i="61"/>
  <c r="A35" i="61"/>
  <c r="B3" i="61"/>
  <c r="B2" i="61"/>
  <c r="B1" i="61"/>
  <c r="E53" i="5"/>
  <c r="F64" i="60"/>
  <c r="D64" i="60"/>
  <c r="G64" i="60" s="1"/>
  <c r="A64" i="60"/>
  <c r="F63" i="60"/>
  <c r="D63" i="60"/>
  <c r="G63" i="60" s="1"/>
  <c r="A63" i="60"/>
  <c r="E62" i="60"/>
  <c r="F62" i="60"/>
  <c r="D62" i="60"/>
  <c r="G62" i="60" s="1"/>
  <c r="A62" i="60"/>
  <c r="E61" i="60"/>
  <c r="F61" i="60"/>
  <c r="D61" i="60"/>
  <c r="G61" i="60" s="1"/>
  <c r="A61" i="60"/>
  <c r="E60" i="60"/>
  <c r="F60" i="60"/>
  <c r="D60" i="60"/>
  <c r="G60" i="60" s="1"/>
  <c r="A60" i="60"/>
  <c r="E59" i="60"/>
  <c r="F59" i="60"/>
  <c r="D59" i="60"/>
  <c r="G59" i="60" s="1"/>
  <c r="A59" i="60"/>
  <c r="E58" i="60"/>
  <c r="F58" i="60"/>
  <c r="D58" i="60"/>
  <c r="G58" i="60" s="1"/>
  <c r="A58" i="60"/>
  <c r="F51" i="60"/>
  <c r="E51" i="60"/>
  <c r="G51" i="60" s="1"/>
  <c r="C51" i="60"/>
  <c r="B51" i="60"/>
  <c r="A51" i="60"/>
  <c r="F50" i="60"/>
  <c r="E50" i="60"/>
  <c r="G50" i="60" s="1"/>
  <c r="C50" i="60"/>
  <c r="B50" i="60"/>
  <c r="A50" i="60"/>
  <c r="F49" i="60"/>
  <c r="E49" i="60"/>
  <c r="G49" i="60" s="1"/>
  <c r="C49" i="60"/>
  <c r="B49" i="60"/>
  <c r="A49" i="60"/>
  <c r="F48" i="60"/>
  <c r="E48" i="60"/>
  <c r="G48" i="60" s="1"/>
  <c r="C48" i="60"/>
  <c r="B48" i="60"/>
  <c r="A48" i="60"/>
  <c r="F47" i="60"/>
  <c r="E47" i="60"/>
  <c r="G47" i="60" s="1"/>
  <c r="C47" i="60"/>
  <c r="B47" i="60"/>
  <c r="A47" i="60"/>
  <c r="F46" i="60"/>
  <c r="E46" i="60"/>
  <c r="G46" i="60" s="1"/>
  <c r="C46" i="60"/>
  <c r="B46" i="60"/>
  <c r="A46" i="60"/>
  <c r="F45" i="60"/>
  <c r="E45" i="60"/>
  <c r="G45" i="60" s="1"/>
  <c r="C45" i="60"/>
  <c r="B45" i="60"/>
  <c r="A45" i="60"/>
  <c r="F44" i="60"/>
  <c r="E44" i="60"/>
  <c r="G44" i="60" s="1"/>
  <c r="C44" i="60"/>
  <c r="B44" i="60"/>
  <c r="A44" i="60"/>
  <c r="F43" i="60"/>
  <c r="E43" i="60"/>
  <c r="G43" i="60" s="1"/>
  <c r="C43" i="60"/>
  <c r="B43" i="60"/>
  <c r="A43" i="60"/>
  <c r="F42" i="60"/>
  <c r="E42" i="60"/>
  <c r="G42" i="60" s="1"/>
  <c r="C42" i="60"/>
  <c r="B42" i="60"/>
  <c r="A42" i="60"/>
  <c r="F41" i="60"/>
  <c r="E41" i="60"/>
  <c r="G41" i="60" s="1"/>
  <c r="C41" i="60"/>
  <c r="B41" i="60"/>
  <c r="A41" i="60"/>
  <c r="F40" i="60"/>
  <c r="E40" i="60"/>
  <c r="G40" i="60" s="1"/>
  <c r="C40" i="60"/>
  <c r="B40" i="60"/>
  <c r="A40" i="60"/>
  <c r="F39" i="60"/>
  <c r="E39" i="60"/>
  <c r="G39" i="60" s="1"/>
  <c r="C39" i="60"/>
  <c r="B39" i="60"/>
  <c r="A39" i="60"/>
  <c r="F38" i="60"/>
  <c r="E38" i="60"/>
  <c r="G38" i="60" s="1"/>
  <c r="C38" i="60"/>
  <c r="B38" i="60"/>
  <c r="A38" i="60"/>
  <c r="F37" i="60"/>
  <c r="E37" i="60"/>
  <c r="G37" i="60" s="1"/>
  <c r="C37" i="60"/>
  <c r="B37" i="60"/>
  <c r="A37" i="60"/>
  <c r="F36" i="60"/>
  <c r="E36" i="60"/>
  <c r="G36" i="60" s="1"/>
  <c r="C36" i="60"/>
  <c r="B36" i="60"/>
  <c r="A36" i="60"/>
  <c r="B3" i="60"/>
  <c r="B2" i="60"/>
  <c r="B1" i="60"/>
  <c r="E52" i="5"/>
  <c r="E68" i="59"/>
  <c r="F68" i="59"/>
  <c r="D68" i="59"/>
  <c r="G68" i="59" s="1"/>
  <c r="A68" i="59"/>
  <c r="E67" i="59"/>
  <c r="F67" i="59"/>
  <c r="D67" i="59"/>
  <c r="G67" i="59" s="1"/>
  <c r="A67" i="59"/>
  <c r="E66" i="59"/>
  <c r="F66" i="59"/>
  <c r="D66" i="59"/>
  <c r="G66" i="59" s="1"/>
  <c r="A66" i="59"/>
  <c r="E65" i="59"/>
  <c r="F65" i="59"/>
  <c r="D65" i="59"/>
  <c r="G65" i="59" s="1"/>
  <c r="A65" i="59"/>
  <c r="E64" i="59"/>
  <c r="F64" i="59"/>
  <c r="D64" i="59"/>
  <c r="G64" i="59" s="1"/>
  <c r="A64" i="59"/>
  <c r="F57" i="59"/>
  <c r="E57" i="59"/>
  <c r="G57" i="59" s="1"/>
  <c r="C57" i="59"/>
  <c r="B57" i="59"/>
  <c r="A57" i="59"/>
  <c r="F56" i="59"/>
  <c r="E56" i="59"/>
  <c r="G56" i="59" s="1"/>
  <c r="C56" i="59"/>
  <c r="B56" i="59"/>
  <c r="A56" i="59"/>
  <c r="F55" i="59"/>
  <c r="E55" i="59"/>
  <c r="G55" i="59" s="1"/>
  <c r="C55" i="59"/>
  <c r="B55" i="59"/>
  <c r="A55" i="59"/>
  <c r="F54" i="59"/>
  <c r="E54" i="59"/>
  <c r="G54" i="59" s="1"/>
  <c r="C54" i="59"/>
  <c r="B54" i="59"/>
  <c r="A54" i="59"/>
  <c r="F53" i="59"/>
  <c r="E53" i="59"/>
  <c r="G53" i="59" s="1"/>
  <c r="C53" i="59"/>
  <c r="B53" i="59"/>
  <c r="A53" i="59"/>
  <c r="F52" i="59"/>
  <c r="E52" i="59"/>
  <c r="G52" i="59" s="1"/>
  <c r="C52" i="59"/>
  <c r="B52" i="59"/>
  <c r="A52" i="59"/>
  <c r="F51" i="59"/>
  <c r="E51" i="59"/>
  <c r="G51" i="59" s="1"/>
  <c r="C51" i="59"/>
  <c r="B51" i="59"/>
  <c r="A51" i="59"/>
  <c r="F50" i="59"/>
  <c r="E50" i="59"/>
  <c r="G50" i="59" s="1"/>
  <c r="C50" i="59"/>
  <c r="B50" i="59"/>
  <c r="A50" i="59"/>
  <c r="F49" i="59"/>
  <c r="E49" i="59"/>
  <c r="G49" i="59" s="1"/>
  <c r="C49" i="59"/>
  <c r="B49" i="59"/>
  <c r="A49" i="59"/>
  <c r="F48" i="59"/>
  <c r="E48" i="59"/>
  <c r="G48" i="59" s="1"/>
  <c r="C48" i="59"/>
  <c r="B48" i="59"/>
  <c r="A48" i="59"/>
  <c r="F47" i="59"/>
  <c r="E47" i="59"/>
  <c r="G47" i="59" s="1"/>
  <c r="C47" i="59"/>
  <c r="B47" i="59"/>
  <c r="A47" i="59"/>
  <c r="F46" i="59"/>
  <c r="E46" i="59"/>
  <c r="G46" i="59" s="1"/>
  <c r="C46" i="59"/>
  <c r="B46" i="59"/>
  <c r="A46" i="59"/>
  <c r="F45" i="59"/>
  <c r="E45" i="59"/>
  <c r="G45" i="59" s="1"/>
  <c r="C45" i="59"/>
  <c r="B45" i="59"/>
  <c r="A45" i="59"/>
  <c r="F44" i="59"/>
  <c r="E44" i="59"/>
  <c r="G44" i="59" s="1"/>
  <c r="C44" i="59"/>
  <c r="B44" i="59"/>
  <c r="A44" i="59"/>
  <c r="F43" i="59"/>
  <c r="E43" i="59"/>
  <c r="G43" i="59" s="1"/>
  <c r="C43" i="59"/>
  <c r="B43" i="59"/>
  <c r="A43" i="59"/>
  <c r="F42" i="59"/>
  <c r="E42" i="59"/>
  <c r="G42" i="59" s="1"/>
  <c r="C42" i="59"/>
  <c r="B42" i="59"/>
  <c r="A42" i="59"/>
  <c r="F41" i="59"/>
  <c r="E41" i="59"/>
  <c r="G41" i="59" s="1"/>
  <c r="C41" i="59"/>
  <c r="B41" i="59"/>
  <c r="A41" i="59"/>
  <c r="F40" i="59"/>
  <c r="E40" i="59"/>
  <c r="G40" i="59" s="1"/>
  <c r="C40" i="59"/>
  <c r="B40" i="59"/>
  <c r="A40" i="59"/>
  <c r="F39" i="59"/>
  <c r="E39" i="59"/>
  <c r="G39" i="59" s="1"/>
  <c r="C39" i="59"/>
  <c r="B39" i="59"/>
  <c r="A39" i="59"/>
  <c r="F38" i="59"/>
  <c r="E38" i="59"/>
  <c r="G38" i="59" s="1"/>
  <c r="C38" i="59"/>
  <c r="B38" i="59"/>
  <c r="A38" i="59"/>
  <c r="B3" i="59"/>
  <c r="B2" i="59"/>
  <c r="B1" i="59"/>
  <c r="E51" i="5"/>
  <c r="F64" i="58"/>
  <c r="D64" i="58"/>
  <c r="G64" i="58" s="1"/>
  <c r="A64" i="58"/>
  <c r="F63" i="58"/>
  <c r="D63" i="58"/>
  <c r="G63" i="58" s="1"/>
  <c r="A63" i="58"/>
  <c r="E62" i="58"/>
  <c r="F62" i="58"/>
  <c r="D62" i="58"/>
  <c r="G62" i="58" s="1"/>
  <c r="A62" i="58"/>
  <c r="E61" i="58"/>
  <c r="F61" i="58"/>
  <c r="D61" i="58"/>
  <c r="G61" i="58" s="1"/>
  <c r="A61" i="58"/>
  <c r="E60" i="58"/>
  <c r="F60" i="58"/>
  <c r="D60" i="58"/>
  <c r="G60" i="58" s="1"/>
  <c r="A60" i="58"/>
  <c r="E59" i="58"/>
  <c r="F59" i="58"/>
  <c r="D59" i="58"/>
  <c r="G59" i="58" s="1"/>
  <c r="A59" i="58"/>
  <c r="E58" i="58"/>
  <c r="F58" i="58"/>
  <c r="D58" i="58"/>
  <c r="G58" i="58" s="1"/>
  <c r="A58" i="58"/>
  <c r="F51" i="58"/>
  <c r="E51" i="58"/>
  <c r="G51" i="58" s="1"/>
  <c r="C51" i="58"/>
  <c r="B51" i="58"/>
  <c r="A51" i="58"/>
  <c r="F50" i="58"/>
  <c r="E50" i="58"/>
  <c r="G50" i="58" s="1"/>
  <c r="C50" i="58"/>
  <c r="B50" i="58"/>
  <c r="A50" i="58"/>
  <c r="F49" i="58"/>
  <c r="E49" i="58"/>
  <c r="G49" i="58" s="1"/>
  <c r="C49" i="58"/>
  <c r="B49" i="58"/>
  <c r="A49" i="58"/>
  <c r="F48" i="58"/>
  <c r="E48" i="58"/>
  <c r="G48" i="58" s="1"/>
  <c r="C48" i="58"/>
  <c r="B48" i="58"/>
  <c r="A48" i="58"/>
  <c r="F47" i="58"/>
  <c r="E47" i="58"/>
  <c r="G47" i="58" s="1"/>
  <c r="C47" i="58"/>
  <c r="B47" i="58"/>
  <c r="A47" i="58"/>
  <c r="F46" i="58"/>
  <c r="E46" i="58"/>
  <c r="G46" i="58" s="1"/>
  <c r="C46" i="58"/>
  <c r="B46" i="58"/>
  <c r="A46" i="58"/>
  <c r="F45" i="58"/>
  <c r="E45" i="58"/>
  <c r="G45" i="58" s="1"/>
  <c r="C45" i="58"/>
  <c r="B45" i="58"/>
  <c r="A45" i="58"/>
  <c r="F44" i="58"/>
  <c r="E44" i="58"/>
  <c r="G44" i="58" s="1"/>
  <c r="C44" i="58"/>
  <c r="B44" i="58"/>
  <c r="A44" i="58"/>
  <c r="F43" i="58"/>
  <c r="E43" i="58"/>
  <c r="G43" i="58" s="1"/>
  <c r="C43" i="58"/>
  <c r="B43" i="58"/>
  <c r="A43" i="58"/>
  <c r="F42" i="58"/>
  <c r="E42" i="58"/>
  <c r="G42" i="58" s="1"/>
  <c r="C42" i="58"/>
  <c r="B42" i="58"/>
  <c r="A42" i="58"/>
  <c r="F41" i="58"/>
  <c r="E41" i="58"/>
  <c r="G41" i="58" s="1"/>
  <c r="C41" i="58"/>
  <c r="B41" i="58"/>
  <c r="A41" i="58"/>
  <c r="F40" i="58"/>
  <c r="E40" i="58"/>
  <c r="G40" i="58" s="1"/>
  <c r="C40" i="58"/>
  <c r="B40" i="58"/>
  <c r="A40" i="58"/>
  <c r="F39" i="58"/>
  <c r="E39" i="58"/>
  <c r="G39" i="58" s="1"/>
  <c r="C39" i="58"/>
  <c r="B39" i="58"/>
  <c r="A39" i="58"/>
  <c r="F38" i="58"/>
  <c r="E38" i="58"/>
  <c r="G38" i="58" s="1"/>
  <c r="C38" i="58"/>
  <c r="B38" i="58"/>
  <c r="A38" i="58"/>
  <c r="F37" i="58"/>
  <c r="E37" i="58"/>
  <c r="G37" i="58" s="1"/>
  <c r="C37" i="58"/>
  <c r="B37" i="58"/>
  <c r="A37" i="58"/>
  <c r="F36" i="58"/>
  <c r="E36" i="58"/>
  <c r="G36" i="58" s="1"/>
  <c r="C36" i="58"/>
  <c r="B36" i="58"/>
  <c r="A36" i="58"/>
  <c r="B3" i="58"/>
  <c r="B2" i="58"/>
  <c r="B1" i="58"/>
  <c r="E50" i="5"/>
  <c r="E62" i="57"/>
  <c r="F62" i="57"/>
  <c r="D62" i="57"/>
  <c r="G62" i="57" s="1"/>
  <c r="A62" i="57"/>
  <c r="E61" i="57"/>
  <c r="F61" i="57"/>
  <c r="D61" i="57"/>
  <c r="G61" i="57" s="1"/>
  <c r="A61" i="57"/>
  <c r="E60" i="57"/>
  <c r="F60" i="57"/>
  <c r="D60" i="57"/>
  <c r="G60" i="57" s="1"/>
  <c r="A60" i="57"/>
  <c r="E59" i="57"/>
  <c r="F59" i="57"/>
  <c r="D59" i="57"/>
  <c r="G59" i="57" s="1"/>
  <c r="A59" i="57"/>
  <c r="F52" i="57"/>
  <c r="E52" i="57"/>
  <c r="G52" i="57" s="1"/>
  <c r="C52" i="57"/>
  <c r="B52" i="57"/>
  <c r="A52" i="57"/>
  <c r="F51" i="57"/>
  <c r="E51" i="57"/>
  <c r="G51" i="57" s="1"/>
  <c r="C51" i="57"/>
  <c r="B51" i="57"/>
  <c r="A51" i="57"/>
  <c r="F50" i="57"/>
  <c r="E50" i="57"/>
  <c r="G50" i="57" s="1"/>
  <c r="C50" i="57"/>
  <c r="B50" i="57"/>
  <c r="A50" i="57"/>
  <c r="F49" i="57"/>
  <c r="E49" i="57"/>
  <c r="G49" i="57" s="1"/>
  <c r="C49" i="57"/>
  <c r="B49" i="57"/>
  <c r="A49" i="57"/>
  <c r="F48" i="57"/>
  <c r="E48" i="57"/>
  <c r="G48" i="57" s="1"/>
  <c r="C48" i="57"/>
  <c r="B48" i="57"/>
  <c r="A48" i="57"/>
  <c r="F47" i="57"/>
  <c r="E47" i="57"/>
  <c r="G47" i="57" s="1"/>
  <c r="C47" i="57"/>
  <c r="B47" i="57"/>
  <c r="A47" i="57"/>
  <c r="F46" i="57"/>
  <c r="E46" i="57"/>
  <c r="G46" i="57" s="1"/>
  <c r="C46" i="57"/>
  <c r="B46" i="57"/>
  <c r="A46" i="57"/>
  <c r="F45" i="57"/>
  <c r="E45" i="57"/>
  <c r="G45" i="57" s="1"/>
  <c r="C45" i="57"/>
  <c r="B45" i="57"/>
  <c r="A45" i="57"/>
  <c r="F44" i="57"/>
  <c r="E44" i="57"/>
  <c r="G44" i="57" s="1"/>
  <c r="C44" i="57"/>
  <c r="B44" i="57"/>
  <c r="A44" i="57"/>
  <c r="F43" i="57"/>
  <c r="E43" i="57"/>
  <c r="G43" i="57" s="1"/>
  <c r="C43" i="57"/>
  <c r="B43" i="57"/>
  <c r="A43" i="57"/>
  <c r="F42" i="57"/>
  <c r="E42" i="57"/>
  <c r="G42" i="57" s="1"/>
  <c r="C42" i="57"/>
  <c r="B42" i="57"/>
  <c r="A42" i="57"/>
  <c r="F41" i="57"/>
  <c r="E41" i="57"/>
  <c r="G41" i="57" s="1"/>
  <c r="C41" i="57"/>
  <c r="B41" i="57"/>
  <c r="A41" i="57"/>
  <c r="F40" i="57"/>
  <c r="E40" i="57"/>
  <c r="G40" i="57" s="1"/>
  <c r="C40" i="57"/>
  <c r="B40" i="57"/>
  <c r="A40" i="57"/>
  <c r="F39" i="57"/>
  <c r="E39" i="57"/>
  <c r="G39" i="57" s="1"/>
  <c r="C39" i="57"/>
  <c r="B39" i="57"/>
  <c r="A39" i="57"/>
  <c r="F38" i="57"/>
  <c r="E38" i="57"/>
  <c r="G38" i="57" s="1"/>
  <c r="C38" i="57"/>
  <c r="B38" i="57"/>
  <c r="A38" i="57"/>
  <c r="F37" i="57"/>
  <c r="E37" i="57"/>
  <c r="G37" i="57" s="1"/>
  <c r="C37" i="57"/>
  <c r="B37" i="57"/>
  <c r="A37" i="57"/>
  <c r="F36" i="57"/>
  <c r="E36" i="57"/>
  <c r="G36" i="57" s="1"/>
  <c r="C36" i="57"/>
  <c r="B36" i="57"/>
  <c r="A36" i="57"/>
  <c r="F35" i="57"/>
  <c r="E35" i="57"/>
  <c r="G35" i="57" s="1"/>
  <c r="C35" i="57"/>
  <c r="B35" i="57"/>
  <c r="A35" i="57"/>
  <c r="B3" i="57"/>
  <c r="B2" i="57"/>
  <c r="B1" i="57"/>
  <c r="E49" i="5"/>
  <c r="F60" i="56"/>
  <c r="D60" i="56"/>
  <c r="G60" i="56" s="1"/>
  <c r="A60" i="56"/>
  <c r="F59" i="56"/>
  <c r="D59" i="56"/>
  <c r="G59" i="56" s="1"/>
  <c r="A59" i="56"/>
  <c r="E58" i="56"/>
  <c r="F58" i="56"/>
  <c r="D58" i="56"/>
  <c r="G58" i="56" s="1"/>
  <c r="A58" i="56"/>
  <c r="E57" i="56"/>
  <c r="F57" i="56"/>
  <c r="D57" i="56"/>
  <c r="G57" i="56" s="1"/>
  <c r="A57" i="56"/>
  <c r="E56" i="56"/>
  <c r="F56" i="56"/>
  <c r="D56" i="56"/>
  <c r="G56" i="56" s="1"/>
  <c r="A56" i="56"/>
  <c r="F49" i="56"/>
  <c r="E49" i="56"/>
  <c r="G49" i="56" s="1"/>
  <c r="C49" i="56"/>
  <c r="B49" i="56"/>
  <c r="A49" i="56"/>
  <c r="F48" i="56"/>
  <c r="E48" i="56"/>
  <c r="G48" i="56" s="1"/>
  <c r="C48" i="56"/>
  <c r="B48" i="56"/>
  <c r="A48" i="56"/>
  <c r="F47" i="56"/>
  <c r="E47" i="56"/>
  <c r="G47" i="56" s="1"/>
  <c r="C47" i="56"/>
  <c r="B47" i="56"/>
  <c r="A47" i="56"/>
  <c r="F46" i="56"/>
  <c r="E46" i="56"/>
  <c r="G46" i="56" s="1"/>
  <c r="C46" i="56"/>
  <c r="B46" i="56"/>
  <c r="A46" i="56"/>
  <c r="F45" i="56"/>
  <c r="E45" i="56"/>
  <c r="G45" i="56" s="1"/>
  <c r="C45" i="56"/>
  <c r="B45" i="56"/>
  <c r="A45" i="56"/>
  <c r="F44" i="56"/>
  <c r="E44" i="56"/>
  <c r="G44" i="56" s="1"/>
  <c r="C44" i="56"/>
  <c r="B44" i="56"/>
  <c r="A44" i="56"/>
  <c r="F43" i="56"/>
  <c r="E43" i="56"/>
  <c r="G43" i="56" s="1"/>
  <c r="C43" i="56"/>
  <c r="B43" i="56"/>
  <c r="A43" i="56"/>
  <c r="F42" i="56"/>
  <c r="E42" i="56"/>
  <c r="G42" i="56" s="1"/>
  <c r="C42" i="56"/>
  <c r="B42" i="56"/>
  <c r="A42" i="56"/>
  <c r="F41" i="56"/>
  <c r="E41" i="56"/>
  <c r="G41" i="56" s="1"/>
  <c r="C41" i="56"/>
  <c r="B41" i="56"/>
  <c r="A41" i="56"/>
  <c r="F40" i="56"/>
  <c r="E40" i="56"/>
  <c r="G40" i="56" s="1"/>
  <c r="C40" i="56"/>
  <c r="B40" i="56"/>
  <c r="A40" i="56"/>
  <c r="F39" i="56"/>
  <c r="E39" i="56"/>
  <c r="G39" i="56" s="1"/>
  <c r="C39" i="56"/>
  <c r="B39" i="56"/>
  <c r="A39" i="56"/>
  <c r="F38" i="56"/>
  <c r="E38" i="56"/>
  <c r="G38" i="56" s="1"/>
  <c r="C38" i="56"/>
  <c r="B38" i="56"/>
  <c r="A38" i="56"/>
  <c r="F37" i="56"/>
  <c r="E37" i="56"/>
  <c r="G37" i="56" s="1"/>
  <c r="C37" i="56"/>
  <c r="B37" i="56"/>
  <c r="A37" i="56"/>
  <c r="F36" i="56"/>
  <c r="E36" i="56"/>
  <c r="G36" i="56" s="1"/>
  <c r="C36" i="56"/>
  <c r="B36" i="56"/>
  <c r="A36" i="56"/>
  <c r="F35" i="56"/>
  <c r="E35" i="56"/>
  <c r="G35" i="56" s="1"/>
  <c r="C35" i="56"/>
  <c r="B35" i="56"/>
  <c r="A35" i="56"/>
  <c r="F34" i="56"/>
  <c r="E34" i="56"/>
  <c r="G34" i="56" s="1"/>
  <c r="C34" i="56"/>
  <c r="B34" i="56"/>
  <c r="A34" i="56"/>
  <c r="B3" i="56"/>
  <c r="B2" i="56"/>
  <c r="B1" i="56"/>
  <c r="E48" i="5"/>
  <c r="F82" i="55"/>
  <c r="D82" i="55"/>
  <c r="G82" i="55" s="1"/>
  <c r="A82" i="55"/>
  <c r="F81" i="55"/>
  <c r="D81" i="55"/>
  <c r="G81" i="55" s="1"/>
  <c r="A81" i="55"/>
  <c r="F80" i="55"/>
  <c r="D80" i="55"/>
  <c r="G80" i="55" s="1"/>
  <c r="A80" i="55"/>
  <c r="F79" i="55"/>
  <c r="D79" i="55"/>
  <c r="G79" i="55" s="1"/>
  <c r="A79" i="55"/>
  <c r="F78" i="55"/>
  <c r="D78" i="55"/>
  <c r="G78" i="55" s="1"/>
  <c r="A78" i="55"/>
  <c r="F77" i="55"/>
  <c r="D77" i="55"/>
  <c r="G77" i="55" s="1"/>
  <c r="A77" i="55"/>
  <c r="E76" i="55"/>
  <c r="F76" i="55"/>
  <c r="D76" i="55"/>
  <c r="G76" i="55" s="1"/>
  <c r="A76" i="55"/>
  <c r="E75" i="55"/>
  <c r="F75" i="55"/>
  <c r="D75" i="55"/>
  <c r="G75" i="55" s="1"/>
  <c r="A75" i="55"/>
  <c r="E74" i="55"/>
  <c r="F74" i="55"/>
  <c r="D74" i="55"/>
  <c r="G74" i="55" s="1"/>
  <c r="A74" i="55"/>
  <c r="E73" i="55"/>
  <c r="F73" i="55"/>
  <c r="D73" i="55"/>
  <c r="G73" i="55" s="1"/>
  <c r="A73" i="55"/>
  <c r="E72" i="55"/>
  <c r="F72" i="55"/>
  <c r="D72" i="55"/>
  <c r="G72" i="55" s="1"/>
  <c r="A72" i="55"/>
  <c r="E71" i="55"/>
  <c r="F71" i="55"/>
  <c r="D71" i="55"/>
  <c r="G71" i="55" s="1"/>
  <c r="A71" i="55"/>
  <c r="F64" i="55"/>
  <c r="E64" i="55"/>
  <c r="G64" i="55" s="1"/>
  <c r="C64" i="55"/>
  <c r="B64" i="55"/>
  <c r="A64" i="55"/>
  <c r="F63" i="55"/>
  <c r="E63" i="55"/>
  <c r="G63" i="55" s="1"/>
  <c r="C63" i="55"/>
  <c r="B63" i="55"/>
  <c r="A63" i="55"/>
  <c r="F62" i="55"/>
  <c r="E62" i="55"/>
  <c r="G62" i="55" s="1"/>
  <c r="C62" i="55"/>
  <c r="B62" i="55"/>
  <c r="A62" i="55"/>
  <c r="F61" i="55"/>
  <c r="E61" i="55"/>
  <c r="G61" i="55" s="1"/>
  <c r="C61" i="55"/>
  <c r="B61" i="55"/>
  <c r="A61" i="55"/>
  <c r="F60" i="55"/>
  <c r="E60" i="55"/>
  <c r="G60" i="55" s="1"/>
  <c r="C60" i="55"/>
  <c r="B60" i="55"/>
  <c r="A60" i="55"/>
  <c r="F59" i="55"/>
  <c r="E59" i="55"/>
  <c r="G59" i="55" s="1"/>
  <c r="C59" i="55"/>
  <c r="B59" i="55"/>
  <c r="A59" i="55"/>
  <c r="F58" i="55"/>
  <c r="E58" i="55"/>
  <c r="G58" i="55" s="1"/>
  <c r="C58" i="55"/>
  <c r="B58" i="55"/>
  <c r="A58" i="55"/>
  <c r="F57" i="55"/>
  <c r="E57" i="55"/>
  <c r="G57" i="55" s="1"/>
  <c r="C57" i="55"/>
  <c r="B57" i="55"/>
  <c r="A57" i="55"/>
  <c r="F56" i="55"/>
  <c r="E56" i="55"/>
  <c r="G56" i="55" s="1"/>
  <c r="C56" i="55"/>
  <c r="B56" i="55"/>
  <c r="A56" i="55"/>
  <c r="F55" i="55"/>
  <c r="E55" i="55"/>
  <c r="G55" i="55" s="1"/>
  <c r="C55" i="55"/>
  <c r="B55" i="55"/>
  <c r="A55" i="55"/>
  <c r="F54" i="55"/>
  <c r="E54" i="55"/>
  <c r="G54" i="55" s="1"/>
  <c r="C54" i="55"/>
  <c r="B54" i="55"/>
  <c r="A54" i="55"/>
  <c r="F53" i="55"/>
  <c r="E53" i="55"/>
  <c r="G53" i="55" s="1"/>
  <c r="C53" i="55"/>
  <c r="B53" i="55"/>
  <c r="A53" i="55"/>
  <c r="F52" i="55"/>
  <c r="E52" i="55"/>
  <c r="G52" i="55" s="1"/>
  <c r="C52" i="55"/>
  <c r="B52" i="55"/>
  <c r="A52" i="55"/>
  <c r="F51" i="55"/>
  <c r="E51" i="55"/>
  <c r="G51" i="55" s="1"/>
  <c r="C51" i="55"/>
  <c r="B51" i="55"/>
  <c r="A51" i="55"/>
  <c r="F50" i="55"/>
  <c r="E50" i="55"/>
  <c r="G50" i="55" s="1"/>
  <c r="C50" i="55"/>
  <c r="B50" i="55"/>
  <c r="A50" i="55"/>
  <c r="F49" i="55"/>
  <c r="E49" i="55"/>
  <c r="G49" i="55" s="1"/>
  <c r="C49" i="55"/>
  <c r="B49" i="55"/>
  <c r="A49" i="55"/>
  <c r="F48" i="55"/>
  <c r="E48" i="55"/>
  <c r="G48" i="55" s="1"/>
  <c r="C48" i="55"/>
  <c r="B48" i="55"/>
  <c r="A48" i="55"/>
  <c r="F47" i="55"/>
  <c r="E47" i="55"/>
  <c r="G47" i="55" s="1"/>
  <c r="C47" i="55"/>
  <c r="B47" i="55"/>
  <c r="A47" i="55"/>
  <c r="F46" i="55"/>
  <c r="E46" i="55"/>
  <c r="G46" i="55" s="1"/>
  <c r="C46" i="55"/>
  <c r="B46" i="55"/>
  <c r="A46" i="55"/>
  <c r="F45" i="55"/>
  <c r="E45" i="55"/>
  <c r="G45" i="55" s="1"/>
  <c r="C45" i="55"/>
  <c r="B45" i="55"/>
  <c r="A45" i="55"/>
  <c r="F44" i="55"/>
  <c r="E44" i="55"/>
  <c r="G44" i="55" s="1"/>
  <c r="C44" i="55"/>
  <c r="B44" i="55"/>
  <c r="A44" i="55"/>
  <c r="F43" i="55"/>
  <c r="E43" i="55"/>
  <c r="G43" i="55" s="1"/>
  <c r="C43" i="55"/>
  <c r="B43" i="55"/>
  <c r="A43" i="55"/>
  <c r="E47" i="5"/>
  <c r="F60" i="54"/>
  <c r="D60" i="54"/>
  <c r="G60" i="54" s="1"/>
  <c r="A60" i="54"/>
  <c r="F59" i="54"/>
  <c r="D59" i="54"/>
  <c r="G59" i="54" s="1"/>
  <c r="A59" i="54"/>
  <c r="E58" i="54"/>
  <c r="F58" i="54"/>
  <c r="D58" i="54"/>
  <c r="G58" i="54" s="1"/>
  <c r="A58" i="54"/>
  <c r="E57" i="54"/>
  <c r="F57" i="54"/>
  <c r="D57" i="54"/>
  <c r="G57" i="54" s="1"/>
  <c r="A57" i="54"/>
  <c r="E56" i="54"/>
  <c r="F56" i="54"/>
  <c r="D56" i="54"/>
  <c r="G56" i="54" s="1"/>
  <c r="A56" i="54"/>
  <c r="F49" i="54"/>
  <c r="E49" i="54"/>
  <c r="G49" i="54" s="1"/>
  <c r="C49" i="54"/>
  <c r="B49" i="54"/>
  <c r="A49" i="54"/>
  <c r="F48" i="54"/>
  <c r="E48" i="54"/>
  <c r="G48" i="54" s="1"/>
  <c r="C48" i="54"/>
  <c r="B48" i="54"/>
  <c r="A48" i="54"/>
  <c r="F47" i="54"/>
  <c r="E47" i="54"/>
  <c r="G47" i="54" s="1"/>
  <c r="C47" i="54"/>
  <c r="B47" i="54"/>
  <c r="A47" i="54"/>
  <c r="F46" i="54"/>
  <c r="E46" i="54"/>
  <c r="G46" i="54" s="1"/>
  <c r="C46" i="54"/>
  <c r="B46" i="54"/>
  <c r="A46" i="54"/>
  <c r="F45" i="54"/>
  <c r="E45" i="54"/>
  <c r="G45" i="54" s="1"/>
  <c r="C45" i="54"/>
  <c r="B45" i="54"/>
  <c r="A45" i="54"/>
  <c r="F44" i="54"/>
  <c r="E44" i="54"/>
  <c r="G44" i="54" s="1"/>
  <c r="C44" i="54"/>
  <c r="B44" i="54"/>
  <c r="A44" i="54"/>
  <c r="F43" i="54"/>
  <c r="E43" i="54"/>
  <c r="G43" i="54" s="1"/>
  <c r="C43" i="54"/>
  <c r="B43" i="54"/>
  <c r="A43" i="54"/>
  <c r="F42" i="54"/>
  <c r="E42" i="54"/>
  <c r="G42" i="54" s="1"/>
  <c r="C42" i="54"/>
  <c r="B42" i="54"/>
  <c r="A42" i="54"/>
  <c r="F41" i="54"/>
  <c r="E41" i="54"/>
  <c r="G41" i="54" s="1"/>
  <c r="C41" i="54"/>
  <c r="B41" i="54"/>
  <c r="A41" i="54"/>
  <c r="F40" i="54"/>
  <c r="E40" i="54"/>
  <c r="G40" i="54" s="1"/>
  <c r="C40" i="54"/>
  <c r="B40" i="54"/>
  <c r="A40" i="54"/>
  <c r="F39" i="54"/>
  <c r="E39" i="54"/>
  <c r="G39" i="54" s="1"/>
  <c r="C39" i="54"/>
  <c r="B39" i="54"/>
  <c r="A39" i="54"/>
  <c r="F38" i="54"/>
  <c r="E38" i="54"/>
  <c r="G38" i="54" s="1"/>
  <c r="C38" i="54"/>
  <c r="B38" i="54"/>
  <c r="A38" i="54"/>
  <c r="F37" i="54"/>
  <c r="E37" i="54"/>
  <c r="G37" i="54" s="1"/>
  <c r="C37" i="54"/>
  <c r="B37" i="54"/>
  <c r="A37" i="54"/>
  <c r="F36" i="54"/>
  <c r="E36" i="54"/>
  <c r="G36" i="54" s="1"/>
  <c r="C36" i="54"/>
  <c r="B36" i="54"/>
  <c r="A36" i="54"/>
  <c r="F35" i="54"/>
  <c r="E35" i="54"/>
  <c r="G35" i="54" s="1"/>
  <c r="C35" i="54"/>
  <c r="B35" i="54"/>
  <c r="A35" i="54"/>
  <c r="F34" i="54"/>
  <c r="E34" i="54"/>
  <c r="G34" i="54" s="1"/>
  <c r="C34" i="54"/>
  <c r="B34" i="54"/>
  <c r="A34" i="54"/>
  <c r="E46" i="5"/>
  <c r="F82" i="53"/>
  <c r="D82" i="53"/>
  <c r="G82" i="53" s="1"/>
  <c r="A82" i="53"/>
  <c r="F81" i="53"/>
  <c r="D81" i="53"/>
  <c r="G81" i="53" s="1"/>
  <c r="A81" i="53"/>
  <c r="F80" i="53"/>
  <c r="D80" i="53"/>
  <c r="G80" i="53" s="1"/>
  <c r="A80" i="53"/>
  <c r="F79" i="53"/>
  <c r="D79" i="53"/>
  <c r="G79" i="53" s="1"/>
  <c r="A79" i="53"/>
  <c r="F78" i="53"/>
  <c r="D78" i="53"/>
  <c r="G78" i="53" s="1"/>
  <c r="A78" i="53"/>
  <c r="F77" i="53"/>
  <c r="D77" i="53"/>
  <c r="G77" i="53" s="1"/>
  <c r="A77" i="53"/>
  <c r="E76" i="53"/>
  <c r="F76" i="53"/>
  <c r="D76" i="53"/>
  <c r="G76" i="53" s="1"/>
  <c r="A76" i="53"/>
  <c r="E75" i="53"/>
  <c r="F75" i="53"/>
  <c r="D75" i="53"/>
  <c r="G75" i="53" s="1"/>
  <c r="A75" i="53"/>
  <c r="E74" i="53"/>
  <c r="F74" i="53"/>
  <c r="D74" i="53"/>
  <c r="G74" i="53" s="1"/>
  <c r="A74" i="53"/>
  <c r="E73" i="53"/>
  <c r="F73" i="53"/>
  <c r="D73" i="53"/>
  <c r="G73" i="53" s="1"/>
  <c r="A73" i="53"/>
  <c r="E72" i="53"/>
  <c r="F72" i="53"/>
  <c r="D72" i="53"/>
  <c r="G72" i="53" s="1"/>
  <c r="A72" i="53"/>
  <c r="E71" i="53"/>
  <c r="F71" i="53"/>
  <c r="D71" i="53"/>
  <c r="G71" i="53" s="1"/>
  <c r="A71" i="53"/>
  <c r="F64" i="53"/>
  <c r="E64" i="53"/>
  <c r="G64" i="53" s="1"/>
  <c r="C64" i="53"/>
  <c r="B64" i="53"/>
  <c r="A64" i="53"/>
  <c r="F63" i="53"/>
  <c r="E63" i="53"/>
  <c r="G63" i="53" s="1"/>
  <c r="C63" i="53"/>
  <c r="B63" i="53"/>
  <c r="A63" i="53"/>
  <c r="F62" i="53"/>
  <c r="E62" i="53"/>
  <c r="G62" i="53" s="1"/>
  <c r="C62" i="53"/>
  <c r="B62" i="53"/>
  <c r="A62" i="53"/>
  <c r="F61" i="53"/>
  <c r="E61" i="53"/>
  <c r="G61" i="53" s="1"/>
  <c r="C61" i="53"/>
  <c r="B61" i="53"/>
  <c r="A61" i="53"/>
  <c r="F60" i="53"/>
  <c r="E60" i="53"/>
  <c r="G60" i="53" s="1"/>
  <c r="C60" i="53"/>
  <c r="B60" i="53"/>
  <c r="A60" i="53"/>
  <c r="F59" i="53"/>
  <c r="E59" i="53"/>
  <c r="G59" i="53" s="1"/>
  <c r="C59" i="53"/>
  <c r="B59" i="53"/>
  <c r="A59" i="53"/>
  <c r="F58" i="53"/>
  <c r="E58" i="53"/>
  <c r="G58" i="53" s="1"/>
  <c r="C58" i="53"/>
  <c r="B58" i="53"/>
  <c r="A58" i="53"/>
  <c r="F57" i="53"/>
  <c r="E57" i="53"/>
  <c r="G57" i="53" s="1"/>
  <c r="C57" i="53"/>
  <c r="B57" i="53"/>
  <c r="A57" i="53"/>
  <c r="F56" i="53"/>
  <c r="E56" i="53"/>
  <c r="G56" i="53" s="1"/>
  <c r="C56" i="53"/>
  <c r="B56" i="53"/>
  <c r="A56" i="53"/>
  <c r="F55" i="53"/>
  <c r="E55" i="53"/>
  <c r="G55" i="53" s="1"/>
  <c r="C55" i="53"/>
  <c r="B55" i="53"/>
  <c r="A55" i="53"/>
  <c r="F54" i="53"/>
  <c r="E54" i="53"/>
  <c r="G54" i="53" s="1"/>
  <c r="C54" i="53"/>
  <c r="B54" i="53"/>
  <c r="A54" i="53"/>
  <c r="F53" i="53"/>
  <c r="E53" i="53"/>
  <c r="G53" i="53" s="1"/>
  <c r="C53" i="53"/>
  <c r="B53" i="53"/>
  <c r="A53" i="53"/>
  <c r="F52" i="53"/>
  <c r="E52" i="53"/>
  <c r="G52" i="53" s="1"/>
  <c r="C52" i="53"/>
  <c r="B52" i="53"/>
  <c r="A52" i="53"/>
  <c r="F51" i="53"/>
  <c r="E51" i="53"/>
  <c r="G51" i="53" s="1"/>
  <c r="C51" i="53"/>
  <c r="B51" i="53"/>
  <c r="A51" i="53"/>
  <c r="F50" i="53"/>
  <c r="E50" i="53"/>
  <c r="G50" i="53" s="1"/>
  <c r="C50" i="53"/>
  <c r="B50" i="53"/>
  <c r="A50" i="53"/>
  <c r="F49" i="53"/>
  <c r="E49" i="53"/>
  <c r="G49" i="53" s="1"/>
  <c r="C49" i="53"/>
  <c r="B49" i="53"/>
  <c r="A49" i="53"/>
  <c r="F48" i="53"/>
  <c r="E48" i="53"/>
  <c r="G48" i="53" s="1"/>
  <c r="C48" i="53"/>
  <c r="B48" i="53"/>
  <c r="A48" i="53"/>
  <c r="F47" i="53"/>
  <c r="E47" i="53"/>
  <c r="G47" i="53" s="1"/>
  <c r="C47" i="53"/>
  <c r="B47" i="53"/>
  <c r="A47" i="53"/>
  <c r="F46" i="53"/>
  <c r="E46" i="53"/>
  <c r="G46" i="53" s="1"/>
  <c r="C46" i="53"/>
  <c r="B46" i="53"/>
  <c r="A46" i="53"/>
  <c r="F45" i="53"/>
  <c r="E45" i="53"/>
  <c r="G45" i="53" s="1"/>
  <c r="C45" i="53"/>
  <c r="B45" i="53"/>
  <c r="A45" i="53"/>
  <c r="F44" i="53"/>
  <c r="E44" i="53"/>
  <c r="G44" i="53" s="1"/>
  <c r="C44" i="53"/>
  <c r="B44" i="53"/>
  <c r="A44" i="53"/>
  <c r="F43" i="53"/>
  <c r="E43" i="53"/>
  <c r="G43" i="53" s="1"/>
  <c r="C43" i="53"/>
  <c r="B43" i="53"/>
  <c r="A43" i="53"/>
  <c r="E45" i="5"/>
  <c r="F60" i="52"/>
  <c r="D60" i="52"/>
  <c r="G60" i="52" s="1"/>
  <c r="A60" i="52"/>
  <c r="F59" i="52"/>
  <c r="D59" i="52"/>
  <c r="G59" i="52" s="1"/>
  <c r="A59" i="52"/>
  <c r="E58" i="52"/>
  <c r="F58" i="52"/>
  <c r="D58" i="52"/>
  <c r="G58" i="52" s="1"/>
  <c r="A58" i="52"/>
  <c r="E57" i="52"/>
  <c r="F57" i="52"/>
  <c r="D57" i="52"/>
  <c r="G57" i="52" s="1"/>
  <c r="A57" i="52"/>
  <c r="E56" i="52"/>
  <c r="F56" i="52"/>
  <c r="D56" i="52"/>
  <c r="G56" i="52" s="1"/>
  <c r="A56" i="52"/>
  <c r="F49" i="52"/>
  <c r="E49" i="52"/>
  <c r="G49" i="52" s="1"/>
  <c r="C49" i="52"/>
  <c r="B49" i="52"/>
  <c r="A49" i="52"/>
  <c r="F48" i="52"/>
  <c r="E48" i="52"/>
  <c r="G48" i="52" s="1"/>
  <c r="C48" i="52"/>
  <c r="B48" i="52"/>
  <c r="A48" i="52"/>
  <c r="F47" i="52"/>
  <c r="E47" i="52"/>
  <c r="G47" i="52" s="1"/>
  <c r="C47" i="52"/>
  <c r="B47" i="52"/>
  <c r="A47" i="52"/>
  <c r="F46" i="52"/>
  <c r="E46" i="52"/>
  <c r="G46" i="52" s="1"/>
  <c r="C46" i="52"/>
  <c r="B46" i="52"/>
  <c r="A46" i="52"/>
  <c r="F45" i="52"/>
  <c r="E45" i="52"/>
  <c r="G45" i="52" s="1"/>
  <c r="C45" i="52"/>
  <c r="B45" i="52"/>
  <c r="A45" i="52"/>
  <c r="F44" i="52"/>
  <c r="E44" i="52"/>
  <c r="G44" i="52" s="1"/>
  <c r="C44" i="52"/>
  <c r="B44" i="52"/>
  <c r="A44" i="52"/>
  <c r="F43" i="52"/>
  <c r="E43" i="52"/>
  <c r="G43" i="52" s="1"/>
  <c r="C43" i="52"/>
  <c r="B43" i="52"/>
  <c r="A43" i="52"/>
  <c r="F42" i="52"/>
  <c r="E42" i="52"/>
  <c r="G42" i="52" s="1"/>
  <c r="C42" i="52"/>
  <c r="B42" i="52"/>
  <c r="A42" i="52"/>
  <c r="F41" i="52"/>
  <c r="E41" i="52"/>
  <c r="G41" i="52" s="1"/>
  <c r="C41" i="52"/>
  <c r="B41" i="52"/>
  <c r="A41" i="52"/>
  <c r="F40" i="52"/>
  <c r="E40" i="52"/>
  <c r="G40" i="52" s="1"/>
  <c r="C40" i="52"/>
  <c r="B40" i="52"/>
  <c r="A40" i="52"/>
  <c r="F39" i="52"/>
  <c r="E39" i="52"/>
  <c r="G39" i="52" s="1"/>
  <c r="C39" i="52"/>
  <c r="B39" i="52"/>
  <c r="A39" i="52"/>
  <c r="F38" i="52"/>
  <c r="E38" i="52"/>
  <c r="G38" i="52" s="1"/>
  <c r="C38" i="52"/>
  <c r="B38" i="52"/>
  <c r="A38" i="52"/>
  <c r="F37" i="52"/>
  <c r="E37" i="52"/>
  <c r="G37" i="52" s="1"/>
  <c r="C37" i="52"/>
  <c r="B37" i="52"/>
  <c r="A37" i="52"/>
  <c r="F36" i="52"/>
  <c r="E36" i="52"/>
  <c r="G36" i="52" s="1"/>
  <c r="C36" i="52"/>
  <c r="B36" i="52"/>
  <c r="A36" i="52"/>
  <c r="F35" i="52"/>
  <c r="E35" i="52"/>
  <c r="G35" i="52" s="1"/>
  <c r="C35" i="52"/>
  <c r="B35" i="52"/>
  <c r="A35" i="52"/>
  <c r="F34" i="52"/>
  <c r="E34" i="52"/>
  <c r="G34" i="52" s="1"/>
  <c r="C34" i="52"/>
  <c r="B34" i="52"/>
  <c r="A34" i="52"/>
  <c r="E44" i="5"/>
  <c r="F82" i="51"/>
  <c r="D82" i="51"/>
  <c r="G82" i="51" s="1"/>
  <c r="A82" i="51"/>
  <c r="F81" i="51"/>
  <c r="D81" i="51"/>
  <c r="G81" i="51" s="1"/>
  <c r="A81" i="51"/>
  <c r="F80" i="51"/>
  <c r="D80" i="51"/>
  <c r="G80" i="51" s="1"/>
  <c r="A80" i="51"/>
  <c r="F79" i="51"/>
  <c r="D79" i="51"/>
  <c r="G79" i="51" s="1"/>
  <c r="A79" i="51"/>
  <c r="F78" i="51"/>
  <c r="D78" i="51"/>
  <c r="G78" i="51" s="1"/>
  <c r="A78" i="51"/>
  <c r="F77" i="51"/>
  <c r="D77" i="51"/>
  <c r="G77" i="51" s="1"/>
  <c r="A77" i="51"/>
  <c r="E76" i="51"/>
  <c r="F76" i="51"/>
  <c r="D76" i="51"/>
  <c r="G76" i="51" s="1"/>
  <c r="A76" i="51"/>
  <c r="E75" i="51"/>
  <c r="F75" i="51"/>
  <c r="D75" i="51"/>
  <c r="G75" i="51" s="1"/>
  <c r="A75" i="51"/>
  <c r="E74" i="51"/>
  <c r="F74" i="51"/>
  <c r="D74" i="51"/>
  <c r="G74" i="51" s="1"/>
  <c r="A74" i="51"/>
  <c r="E73" i="51"/>
  <c r="F73" i="51"/>
  <c r="D73" i="51"/>
  <c r="G73" i="51" s="1"/>
  <c r="A73" i="51"/>
  <c r="E72" i="51"/>
  <c r="F72" i="51"/>
  <c r="D72" i="51"/>
  <c r="G72" i="51" s="1"/>
  <c r="A72" i="51"/>
  <c r="E71" i="51"/>
  <c r="F71" i="51"/>
  <c r="D71" i="51"/>
  <c r="G71" i="51" s="1"/>
  <c r="A71" i="51"/>
  <c r="F64" i="51"/>
  <c r="E64" i="51"/>
  <c r="G64" i="51" s="1"/>
  <c r="C64" i="51"/>
  <c r="B64" i="51"/>
  <c r="A64" i="51"/>
  <c r="F63" i="51"/>
  <c r="E63" i="51"/>
  <c r="G63" i="51" s="1"/>
  <c r="C63" i="51"/>
  <c r="B63" i="51"/>
  <c r="A63" i="51"/>
  <c r="F62" i="51"/>
  <c r="E62" i="51"/>
  <c r="G62" i="51" s="1"/>
  <c r="C62" i="51"/>
  <c r="B62" i="51"/>
  <c r="A62" i="51"/>
  <c r="F61" i="51"/>
  <c r="E61" i="51"/>
  <c r="G61" i="51" s="1"/>
  <c r="C61" i="51"/>
  <c r="B61" i="51"/>
  <c r="A61" i="51"/>
  <c r="F60" i="51"/>
  <c r="E60" i="51"/>
  <c r="G60" i="51" s="1"/>
  <c r="C60" i="51"/>
  <c r="B60" i="51"/>
  <c r="A60" i="51"/>
  <c r="F59" i="51"/>
  <c r="E59" i="51"/>
  <c r="G59" i="51" s="1"/>
  <c r="C59" i="51"/>
  <c r="B59" i="51"/>
  <c r="A59" i="51"/>
  <c r="F58" i="51"/>
  <c r="E58" i="51"/>
  <c r="G58" i="51" s="1"/>
  <c r="C58" i="51"/>
  <c r="B58" i="51"/>
  <c r="A58" i="51"/>
  <c r="F57" i="51"/>
  <c r="E57" i="51"/>
  <c r="G57" i="51" s="1"/>
  <c r="C57" i="51"/>
  <c r="B57" i="51"/>
  <c r="A57" i="51"/>
  <c r="F56" i="51"/>
  <c r="E56" i="51"/>
  <c r="G56" i="51" s="1"/>
  <c r="C56" i="51"/>
  <c r="B56" i="51"/>
  <c r="A56" i="51"/>
  <c r="F55" i="51"/>
  <c r="E55" i="51"/>
  <c r="G55" i="51" s="1"/>
  <c r="C55" i="51"/>
  <c r="B55" i="51"/>
  <c r="A55" i="51"/>
  <c r="F54" i="51"/>
  <c r="E54" i="51"/>
  <c r="G54" i="51" s="1"/>
  <c r="C54" i="51"/>
  <c r="B54" i="51"/>
  <c r="A54" i="51"/>
  <c r="F53" i="51"/>
  <c r="E53" i="51"/>
  <c r="G53" i="51" s="1"/>
  <c r="C53" i="51"/>
  <c r="B53" i="51"/>
  <c r="A53" i="51"/>
  <c r="F52" i="51"/>
  <c r="E52" i="51"/>
  <c r="G52" i="51" s="1"/>
  <c r="C52" i="51"/>
  <c r="B52" i="51"/>
  <c r="A52" i="51"/>
  <c r="F51" i="51"/>
  <c r="E51" i="51"/>
  <c r="G51" i="51" s="1"/>
  <c r="C51" i="51"/>
  <c r="B51" i="51"/>
  <c r="A51" i="51"/>
  <c r="F50" i="51"/>
  <c r="E50" i="51"/>
  <c r="G50" i="51" s="1"/>
  <c r="C50" i="51"/>
  <c r="B50" i="51"/>
  <c r="A50" i="51"/>
  <c r="F49" i="51"/>
  <c r="E49" i="51"/>
  <c r="G49" i="51" s="1"/>
  <c r="C49" i="51"/>
  <c r="B49" i="51"/>
  <c r="A49" i="51"/>
  <c r="F48" i="51"/>
  <c r="E48" i="51"/>
  <c r="G48" i="51" s="1"/>
  <c r="C48" i="51"/>
  <c r="B48" i="51"/>
  <c r="A48" i="51"/>
  <c r="F47" i="51"/>
  <c r="E47" i="51"/>
  <c r="G47" i="51" s="1"/>
  <c r="C47" i="51"/>
  <c r="B47" i="51"/>
  <c r="A47" i="51"/>
  <c r="F46" i="51"/>
  <c r="E46" i="51"/>
  <c r="G46" i="51" s="1"/>
  <c r="C46" i="51"/>
  <c r="B46" i="51"/>
  <c r="A46" i="51"/>
  <c r="F45" i="51"/>
  <c r="E45" i="51"/>
  <c r="G45" i="51" s="1"/>
  <c r="C45" i="51"/>
  <c r="B45" i="51"/>
  <c r="A45" i="51"/>
  <c r="F44" i="51"/>
  <c r="E44" i="51"/>
  <c r="G44" i="51" s="1"/>
  <c r="C44" i="51"/>
  <c r="B44" i="51"/>
  <c r="A44" i="51"/>
  <c r="F43" i="51"/>
  <c r="E43" i="51"/>
  <c r="G43" i="51" s="1"/>
  <c r="C43" i="51"/>
  <c r="B43" i="51"/>
  <c r="A43" i="51"/>
  <c r="E43" i="5"/>
  <c r="F59" i="50"/>
  <c r="D59" i="50"/>
  <c r="G59" i="50" s="1"/>
  <c r="A59" i="50"/>
  <c r="F58" i="50"/>
  <c r="D58" i="50"/>
  <c r="G58" i="50" s="1"/>
  <c r="A58" i="50"/>
  <c r="E57" i="50"/>
  <c r="F57" i="50"/>
  <c r="D57" i="50"/>
  <c r="G57" i="50" s="1"/>
  <c r="A57" i="50"/>
  <c r="E56" i="50"/>
  <c r="F56" i="50"/>
  <c r="D56" i="50"/>
  <c r="G56" i="50" s="1"/>
  <c r="A56" i="50"/>
  <c r="E55" i="50"/>
  <c r="F55" i="50"/>
  <c r="D55" i="50"/>
  <c r="G55" i="50" s="1"/>
  <c r="A55" i="50"/>
  <c r="F48" i="50"/>
  <c r="E48" i="50"/>
  <c r="G48" i="50" s="1"/>
  <c r="C48" i="50"/>
  <c r="B48" i="50"/>
  <c r="A48" i="50"/>
  <c r="F47" i="50"/>
  <c r="E47" i="50"/>
  <c r="G47" i="50" s="1"/>
  <c r="C47" i="50"/>
  <c r="B47" i="50"/>
  <c r="A47" i="50"/>
  <c r="F46" i="50"/>
  <c r="E46" i="50"/>
  <c r="G46" i="50" s="1"/>
  <c r="C46" i="50"/>
  <c r="B46" i="50"/>
  <c r="A46" i="50"/>
  <c r="F45" i="50"/>
  <c r="E45" i="50"/>
  <c r="G45" i="50" s="1"/>
  <c r="C45" i="50"/>
  <c r="B45" i="50"/>
  <c r="A45" i="50"/>
  <c r="F44" i="50"/>
  <c r="E44" i="50"/>
  <c r="G44" i="50" s="1"/>
  <c r="C44" i="50"/>
  <c r="B44" i="50"/>
  <c r="A44" i="50"/>
  <c r="F43" i="50"/>
  <c r="E43" i="50"/>
  <c r="G43" i="50" s="1"/>
  <c r="C43" i="50"/>
  <c r="B43" i="50"/>
  <c r="A43" i="50"/>
  <c r="F42" i="50"/>
  <c r="E42" i="50"/>
  <c r="G42" i="50" s="1"/>
  <c r="C42" i="50"/>
  <c r="B42" i="50"/>
  <c r="A42" i="50"/>
  <c r="F41" i="50"/>
  <c r="E41" i="50"/>
  <c r="G41" i="50" s="1"/>
  <c r="C41" i="50"/>
  <c r="B41" i="50"/>
  <c r="A41" i="50"/>
  <c r="F40" i="50"/>
  <c r="E40" i="50"/>
  <c r="G40" i="50" s="1"/>
  <c r="C40" i="50"/>
  <c r="B40" i="50"/>
  <c r="A40" i="50"/>
  <c r="F39" i="50"/>
  <c r="E39" i="50"/>
  <c r="G39" i="50" s="1"/>
  <c r="C39" i="50"/>
  <c r="B39" i="50"/>
  <c r="A39" i="50"/>
  <c r="F38" i="50"/>
  <c r="E38" i="50"/>
  <c r="G38" i="50" s="1"/>
  <c r="C38" i="50"/>
  <c r="B38" i="50"/>
  <c r="A38" i="50"/>
  <c r="F37" i="50"/>
  <c r="E37" i="50"/>
  <c r="G37" i="50" s="1"/>
  <c r="C37" i="50"/>
  <c r="B37" i="50"/>
  <c r="A37" i="50"/>
  <c r="F36" i="50"/>
  <c r="E36" i="50"/>
  <c r="G36" i="50" s="1"/>
  <c r="C36" i="50"/>
  <c r="B36" i="50"/>
  <c r="A36" i="50"/>
  <c r="F35" i="50"/>
  <c r="E35" i="50"/>
  <c r="G35" i="50" s="1"/>
  <c r="C35" i="50"/>
  <c r="B35" i="50"/>
  <c r="A35" i="50"/>
  <c r="F34" i="50"/>
  <c r="E34" i="50"/>
  <c r="G34" i="50" s="1"/>
  <c r="C34" i="50"/>
  <c r="B34" i="50"/>
  <c r="A34" i="50"/>
  <c r="E42" i="5"/>
  <c r="F59" i="49"/>
  <c r="D59" i="49"/>
  <c r="G59" i="49" s="1"/>
  <c r="A59" i="49"/>
  <c r="F58" i="49"/>
  <c r="D58" i="49"/>
  <c r="G58" i="49" s="1"/>
  <c r="A58" i="49"/>
  <c r="E57" i="49"/>
  <c r="F57" i="49"/>
  <c r="D57" i="49"/>
  <c r="A57" i="49"/>
  <c r="E56" i="49"/>
  <c r="F56" i="49"/>
  <c r="D56" i="49"/>
  <c r="G56" i="49" s="1"/>
  <c r="A56" i="49"/>
  <c r="E55" i="49"/>
  <c r="F55" i="49"/>
  <c r="D55" i="49"/>
  <c r="G55" i="49" s="1"/>
  <c r="A55" i="49"/>
  <c r="F48" i="49"/>
  <c r="E48" i="49"/>
  <c r="G48" i="49" s="1"/>
  <c r="C48" i="49"/>
  <c r="B48" i="49"/>
  <c r="A48" i="49"/>
  <c r="F47" i="49"/>
  <c r="E47" i="49"/>
  <c r="G47" i="49" s="1"/>
  <c r="C47" i="49"/>
  <c r="B47" i="49"/>
  <c r="A47" i="49"/>
  <c r="F46" i="49"/>
  <c r="E46" i="49"/>
  <c r="G46" i="49" s="1"/>
  <c r="C46" i="49"/>
  <c r="B46" i="49"/>
  <c r="A46" i="49"/>
  <c r="F45" i="49"/>
  <c r="E45" i="49"/>
  <c r="G45" i="49" s="1"/>
  <c r="C45" i="49"/>
  <c r="B45" i="49"/>
  <c r="A45" i="49"/>
  <c r="F44" i="49"/>
  <c r="E44" i="49"/>
  <c r="G44" i="49" s="1"/>
  <c r="C44" i="49"/>
  <c r="B44" i="49"/>
  <c r="A44" i="49"/>
  <c r="F43" i="49"/>
  <c r="E43" i="49"/>
  <c r="G43" i="49" s="1"/>
  <c r="C43" i="49"/>
  <c r="B43" i="49"/>
  <c r="A43" i="49"/>
  <c r="F42" i="49"/>
  <c r="E42" i="49"/>
  <c r="G42" i="49" s="1"/>
  <c r="C42" i="49"/>
  <c r="B42" i="49"/>
  <c r="A42" i="49"/>
  <c r="F41" i="49"/>
  <c r="E41" i="49"/>
  <c r="G41" i="49" s="1"/>
  <c r="C41" i="49"/>
  <c r="B41" i="49"/>
  <c r="A41" i="49"/>
  <c r="F40" i="49"/>
  <c r="E40" i="49"/>
  <c r="G40" i="49" s="1"/>
  <c r="C40" i="49"/>
  <c r="B40" i="49"/>
  <c r="A40" i="49"/>
  <c r="F39" i="49"/>
  <c r="E39" i="49"/>
  <c r="G39" i="49" s="1"/>
  <c r="C39" i="49"/>
  <c r="B39" i="49"/>
  <c r="A39" i="49"/>
  <c r="F38" i="49"/>
  <c r="E38" i="49"/>
  <c r="G38" i="49" s="1"/>
  <c r="C38" i="49"/>
  <c r="B38" i="49"/>
  <c r="A38" i="49"/>
  <c r="F37" i="49"/>
  <c r="E37" i="49"/>
  <c r="G37" i="49" s="1"/>
  <c r="C37" i="49"/>
  <c r="B37" i="49"/>
  <c r="A37" i="49"/>
  <c r="F36" i="49"/>
  <c r="E36" i="49"/>
  <c r="G36" i="49" s="1"/>
  <c r="C36" i="49"/>
  <c r="B36" i="49"/>
  <c r="A36" i="49"/>
  <c r="F35" i="49"/>
  <c r="E35" i="49"/>
  <c r="G35" i="49" s="1"/>
  <c r="C35" i="49"/>
  <c r="B35" i="49"/>
  <c r="A35" i="49"/>
  <c r="F34" i="49"/>
  <c r="E34" i="49"/>
  <c r="G34" i="49" s="1"/>
  <c r="C34" i="49"/>
  <c r="B34" i="49"/>
  <c r="A34" i="49"/>
  <c r="E41" i="5"/>
  <c r="F65" i="48"/>
  <c r="D65" i="48"/>
  <c r="G65" i="48" s="1"/>
  <c r="A65" i="48"/>
  <c r="E64" i="48"/>
  <c r="F64" i="48"/>
  <c r="D64" i="48"/>
  <c r="A64" i="48"/>
  <c r="E63" i="48"/>
  <c r="F63" i="48"/>
  <c r="D63" i="48"/>
  <c r="A63" i="48"/>
  <c r="E62" i="48"/>
  <c r="F62" i="48"/>
  <c r="D62" i="48"/>
  <c r="G62" i="48" s="1"/>
  <c r="A62" i="48"/>
  <c r="E61" i="48"/>
  <c r="F61" i="48"/>
  <c r="D61" i="48"/>
  <c r="G61" i="48" s="1"/>
  <c r="A61" i="48"/>
  <c r="F54" i="48"/>
  <c r="E54" i="48"/>
  <c r="G54" i="48" s="1"/>
  <c r="C54" i="48"/>
  <c r="B54" i="48"/>
  <c r="A54" i="48"/>
  <c r="F53" i="48"/>
  <c r="E53" i="48"/>
  <c r="G53" i="48" s="1"/>
  <c r="C53" i="48"/>
  <c r="B53" i="48"/>
  <c r="A53" i="48"/>
  <c r="F52" i="48"/>
  <c r="E52" i="48"/>
  <c r="G52" i="48" s="1"/>
  <c r="C52" i="48"/>
  <c r="B52" i="48"/>
  <c r="A52" i="48"/>
  <c r="F51" i="48"/>
  <c r="E51" i="48"/>
  <c r="G51" i="48" s="1"/>
  <c r="C51" i="48"/>
  <c r="B51" i="48"/>
  <c r="A51" i="48"/>
  <c r="F50" i="48"/>
  <c r="E50" i="48"/>
  <c r="G50" i="48" s="1"/>
  <c r="C50" i="48"/>
  <c r="B50" i="48"/>
  <c r="A50" i="48"/>
  <c r="F49" i="48"/>
  <c r="E49" i="48"/>
  <c r="G49" i="48" s="1"/>
  <c r="C49" i="48"/>
  <c r="B49" i="48"/>
  <c r="A49" i="48"/>
  <c r="F48" i="48"/>
  <c r="E48" i="48"/>
  <c r="G48" i="48" s="1"/>
  <c r="C48" i="48"/>
  <c r="B48" i="48"/>
  <c r="A48" i="48"/>
  <c r="F47" i="48"/>
  <c r="E47" i="48"/>
  <c r="G47" i="48" s="1"/>
  <c r="C47" i="48"/>
  <c r="B47" i="48"/>
  <c r="A47" i="48"/>
  <c r="F46" i="48"/>
  <c r="E46" i="48"/>
  <c r="G46" i="48" s="1"/>
  <c r="C46" i="48"/>
  <c r="B46" i="48"/>
  <c r="A46" i="48"/>
  <c r="F45" i="48"/>
  <c r="E45" i="48"/>
  <c r="G45" i="48" s="1"/>
  <c r="C45" i="48"/>
  <c r="B45" i="48"/>
  <c r="A45" i="48"/>
  <c r="F44" i="48"/>
  <c r="E44" i="48"/>
  <c r="G44" i="48" s="1"/>
  <c r="C44" i="48"/>
  <c r="B44" i="48"/>
  <c r="A44" i="48"/>
  <c r="F43" i="48"/>
  <c r="E43" i="48"/>
  <c r="G43" i="48" s="1"/>
  <c r="C43" i="48"/>
  <c r="B43" i="48"/>
  <c r="A43" i="48"/>
  <c r="F42" i="48"/>
  <c r="E42" i="48"/>
  <c r="G42" i="48" s="1"/>
  <c r="C42" i="48"/>
  <c r="B42" i="48"/>
  <c r="A42" i="48"/>
  <c r="F41" i="48"/>
  <c r="E41" i="48"/>
  <c r="G41" i="48" s="1"/>
  <c r="C41" i="48"/>
  <c r="B41" i="48"/>
  <c r="A41" i="48"/>
  <c r="F40" i="48"/>
  <c r="E40" i="48"/>
  <c r="G40" i="48" s="1"/>
  <c r="C40" i="48"/>
  <c r="B40" i="48"/>
  <c r="A40" i="48"/>
  <c r="F39" i="48"/>
  <c r="E39" i="48"/>
  <c r="G39" i="48" s="1"/>
  <c r="C39" i="48"/>
  <c r="B39" i="48"/>
  <c r="A39" i="48"/>
  <c r="F38" i="48"/>
  <c r="E38" i="48"/>
  <c r="G38" i="48" s="1"/>
  <c r="C38" i="48"/>
  <c r="B38" i="48"/>
  <c r="A38" i="48"/>
  <c r="F37" i="48"/>
  <c r="E37" i="48"/>
  <c r="G37" i="48" s="1"/>
  <c r="C37" i="48"/>
  <c r="B37" i="48"/>
  <c r="A37" i="48"/>
  <c r="F36" i="48"/>
  <c r="E36" i="48"/>
  <c r="G36" i="48" s="1"/>
  <c r="C36" i="48"/>
  <c r="B36" i="48"/>
  <c r="A36" i="48"/>
  <c r="E40" i="5"/>
  <c r="F59" i="47"/>
  <c r="D59" i="47"/>
  <c r="G59" i="47" s="1"/>
  <c r="A59" i="47"/>
  <c r="F58" i="47"/>
  <c r="D58" i="47"/>
  <c r="G58" i="47" s="1"/>
  <c r="A58" i="47"/>
  <c r="E57" i="47"/>
  <c r="F57" i="47"/>
  <c r="D57" i="47"/>
  <c r="G57" i="47" s="1"/>
  <c r="A57" i="47"/>
  <c r="E56" i="47"/>
  <c r="F56" i="47"/>
  <c r="D56" i="47"/>
  <c r="G56" i="47" s="1"/>
  <c r="A56" i="47"/>
  <c r="E55" i="47"/>
  <c r="F55" i="47"/>
  <c r="D55" i="47"/>
  <c r="G55" i="47" s="1"/>
  <c r="A55" i="47"/>
  <c r="F48" i="47"/>
  <c r="E48" i="47"/>
  <c r="G48" i="47" s="1"/>
  <c r="C48" i="47"/>
  <c r="B48" i="47"/>
  <c r="A48" i="47"/>
  <c r="F47" i="47"/>
  <c r="E47" i="47"/>
  <c r="G47" i="47" s="1"/>
  <c r="C47" i="47"/>
  <c r="B47" i="47"/>
  <c r="A47" i="47"/>
  <c r="F46" i="47"/>
  <c r="E46" i="47"/>
  <c r="G46" i="47" s="1"/>
  <c r="C46" i="47"/>
  <c r="B46" i="47"/>
  <c r="A46" i="47"/>
  <c r="F45" i="47"/>
  <c r="E45" i="47"/>
  <c r="G45" i="47" s="1"/>
  <c r="C45" i="47"/>
  <c r="B45" i="47"/>
  <c r="A45" i="47"/>
  <c r="F44" i="47"/>
  <c r="E44" i="47"/>
  <c r="G44" i="47" s="1"/>
  <c r="C44" i="47"/>
  <c r="B44" i="47"/>
  <c r="A44" i="47"/>
  <c r="F43" i="47"/>
  <c r="E43" i="47"/>
  <c r="G43" i="47" s="1"/>
  <c r="C43" i="47"/>
  <c r="B43" i="47"/>
  <c r="A43" i="47"/>
  <c r="F42" i="47"/>
  <c r="E42" i="47"/>
  <c r="G42" i="47" s="1"/>
  <c r="C42" i="47"/>
  <c r="B42" i="47"/>
  <c r="A42" i="47"/>
  <c r="F41" i="47"/>
  <c r="E41" i="47"/>
  <c r="G41" i="47" s="1"/>
  <c r="C41" i="47"/>
  <c r="B41" i="47"/>
  <c r="A41" i="47"/>
  <c r="F40" i="47"/>
  <c r="E40" i="47"/>
  <c r="G40" i="47" s="1"/>
  <c r="C40" i="47"/>
  <c r="B40" i="47"/>
  <c r="A40" i="47"/>
  <c r="F39" i="47"/>
  <c r="E39" i="47"/>
  <c r="G39" i="47" s="1"/>
  <c r="C39" i="47"/>
  <c r="B39" i="47"/>
  <c r="A39" i="47"/>
  <c r="F38" i="47"/>
  <c r="E38" i="47"/>
  <c r="G38" i="47" s="1"/>
  <c r="C38" i="47"/>
  <c r="B38" i="47"/>
  <c r="A38" i="47"/>
  <c r="F37" i="47"/>
  <c r="E37" i="47"/>
  <c r="G37" i="47" s="1"/>
  <c r="C37" i="47"/>
  <c r="B37" i="47"/>
  <c r="A37" i="47"/>
  <c r="F36" i="47"/>
  <c r="E36" i="47"/>
  <c r="G36" i="47" s="1"/>
  <c r="C36" i="47"/>
  <c r="B36" i="47"/>
  <c r="A36" i="47"/>
  <c r="F35" i="47"/>
  <c r="E35" i="47"/>
  <c r="G35" i="47" s="1"/>
  <c r="C35" i="47"/>
  <c r="B35" i="47"/>
  <c r="A35" i="47"/>
  <c r="F34" i="47"/>
  <c r="E34" i="47"/>
  <c r="G34" i="47" s="1"/>
  <c r="C34" i="47"/>
  <c r="B34" i="47"/>
  <c r="A34" i="47"/>
  <c r="E39" i="5"/>
  <c r="E62" i="46"/>
  <c r="F62" i="46"/>
  <c r="D62" i="46"/>
  <c r="G62" i="46" s="1"/>
  <c r="A62" i="46"/>
  <c r="E61" i="46"/>
  <c r="F61" i="46"/>
  <c r="D61" i="46"/>
  <c r="G61" i="46" s="1"/>
  <c r="A61" i="46"/>
  <c r="E60" i="46"/>
  <c r="F60" i="46"/>
  <c r="D60" i="46"/>
  <c r="G60" i="46" s="1"/>
  <c r="A60" i="46"/>
  <c r="E59" i="46"/>
  <c r="F59" i="46"/>
  <c r="D59" i="46"/>
  <c r="G59" i="46" s="1"/>
  <c r="A59" i="46"/>
  <c r="F52" i="46"/>
  <c r="E52" i="46"/>
  <c r="G52" i="46" s="1"/>
  <c r="C52" i="46"/>
  <c r="B52" i="46"/>
  <c r="A52" i="46"/>
  <c r="F51" i="46"/>
  <c r="E51" i="46"/>
  <c r="G51" i="46" s="1"/>
  <c r="C51" i="46"/>
  <c r="B51" i="46"/>
  <c r="A51" i="46"/>
  <c r="F50" i="46"/>
  <c r="E50" i="46"/>
  <c r="G50" i="46" s="1"/>
  <c r="C50" i="46"/>
  <c r="B50" i="46"/>
  <c r="A50" i="46"/>
  <c r="F49" i="46"/>
  <c r="E49" i="46"/>
  <c r="G49" i="46" s="1"/>
  <c r="C49" i="46"/>
  <c r="B49" i="46"/>
  <c r="A49" i="46"/>
  <c r="F48" i="46"/>
  <c r="E48" i="46"/>
  <c r="G48" i="46" s="1"/>
  <c r="C48" i="46"/>
  <c r="B48" i="46"/>
  <c r="A48" i="46"/>
  <c r="F47" i="46"/>
  <c r="E47" i="46"/>
  <c r="G47" i="46" s="1"/>
  <c r="C47" i="46"/>
  <c r="B47" i="46"/>
  <c r="A47" i="46"/>
  <c r="F46" i="46"/>
  <c r="E46" i="46"/>
  <c r="G46" i="46" s="1"/>
  <c r="C46" i="46"/>
  <c r="B46" i="46"/>
  <c r="A46" i="46"/>
  <c r="F45" i="46"/>
  <c r="E45" i="46"/>
  <c r="G45" i="46" s="1"/>
  <c r="C45" i="46"/>
  <c r="B45" i="46"/>
  <c r="A45" i="46"/>
  <c r="F44" i="46"/>
  <c r="E44" i="46"/>
  <c r="G44" i="46" s="1"/>
  <c r="C44" i="46"/>
  <c r="B44" i="46"/>
  <c r="A44" i="46"/>
  <c r="F43" i="46"/>
  <c r="E43" i="46"/>
  <c r="G43" i="46" s="1"/>
  <c r="C43" i="46"/>
  <c r="B43" i="46"/>
  <c r="A43" i="46"/>
  <c r="F42" i="46"/>
  <c r="E42" i="46"/>
  <c r="G42" i="46" s="1"/>
  <c r="C42" i="46"/>
  <c r="B42" i="46"/>
  <c r="A42" i="46"/>
  <c r="F41" i="46"/>
  <c r="E41" i="46"/>
  <c r="G41" i="46" s="1"/>
  <c r="C41" i="46"/>
  <c r="B41" i="46"/>
  <c r="A41" i="46"/>
  <c r="F40" i="46"/>
  <c r="E40" i="46"/>
  <c r="G40" i="46" s="1"/>
  <c r="C40" i="46"/>
  <c r="B40" i="46"/>
  <c r="A40" i="46"/>
  <c r="F39" i="46"/>
  <c r="E39" i="46"/>
  <c r="G39" i="46" s="1"/>
  <c r="C39" i="46"/>
  <c r="B39" i="46"/>
  <c r="A39" i="46"/>
  <c r="F38" i="46"/>
  <c r="E38" i="46"/>
  <c r="G38" i="46" s="1"/>
  <c r="C38" i="46"/>
  <c r="B38" i="46"/>
  <c r="A38" i="46"/>
  <c r="F37" i="46"/>
  <c r="E37" i="46"/>
  <c r="G37" i="46" s="1"/>
  <c r="C37" i="46"/>
  <c r="B37" i="46"/>
  <c r="A37" i="46"/>
  <c r="F36" i="46"/>
  <c r="E36" i="46"/>
  <c r="G36" i="46" s="1"/>
  <c r="C36" i="46"/>
  <c r="B36" i="46"/>
  <c r="A36" i="46"/>
  <c r="F35" i="46"/>
  <c r="E35" i="46"/>
  <c r="G35" i="46" s="1"/>
  <c r="C35" i="46"/>
  <c r="B35" i="46"/>
  <c r="A35" i="46"/>
  <c r="E38" i="5"/>
  <c r="F62" i="45"/>
  <c r="D62" i="45"/>
  <c r="G62" i="45" s="1"/>
  <c r="A62" i="45"/>
  <c r="F61" i="45"/>
  <c r="D61" i="45"/>
  <c r="G61" i="45" s="1"/>
  <c r="A61" i="45"/>
  <c r="E60" i="45"/>
  <c r="F60" i="45"/>
  <c r="D60" i="45"/>
  <c r="A60" i="45"/>
  <c r="E59" i="45"/>
  <c r="F59" i="45"/>
  <c r="D59" i="45"/>
  <c r="G59" i="45" s="1"/>
  <c r="A59" i="45"/>
  <c r="E58" i="45"/>
  <c r="F58" i="45"/>
  <c r="D58" i="45"/>
  <c r="G58" i="45" s="1"/>
  <c r="A58" i="45"/>
  <c r="E57" i="45"/>
  <c r="F57" i="45"/>
  <c r="D57" i="45"/>
  <c r="G57" i="45" s="1"/>
  <c r="A57" i="45"/>
  <c r="F50" i="45"/>
  <c r="E50" i="45"/>
  <c r="G50" i="45" s="1"/>
  <c r="C50" i="45"/>
  <c r="B50" i="45"/>
  <c r="A50" i="45"/>
  <c r="F49" i="45"/>
  <c r="E49" i="45"/>
  <c r="G49" i="45" s="1"/>
  <c r="C49" i="45"/>
  <c r="B49" i="45"/>
  <c r="A49" i="45"/>
  <c r="F48" i="45"/>
  <c r="E48" i="45"/>
  <c r="G48" i="45" s="1"/>
  <c r="C48" i="45"/>
  <c r="B48" i="45"/>
  <c r="A48" i="45"/>
  <c r="F47" i="45"/>
  <c r="E47" i="45"/>
  <c r="G47" i="45" s="1"/>
  <c r="C47" i="45"/>
  <c r="B47" i="45"/>
  <c r="A47" i="45"/>
  <c r="F46" i="45"/>
  <c r="E46" i="45"/>
  <c r="G46" i="45" s="1"/>
  <c r="C46" i="45"/>
  <c r="B46" i="45"/>
  <c r="A46" i="45"/>
  <c r="F45" i="45"/>
  <c r="E45" i="45"/>
  <c r="G45" i="45" s="1"/>
  <c r="C45" i="45"/>
  <c r="B45" i="45"/>
  <c r="A45" i="45"/>
  <c r="F44" i="45"/>
  <c r="E44" i="45"/>
  <c r="G44" i="45" s="1"/>
  <c r="C44" i="45"/>
  <c r="B44" i="45"/>
  <c r="A44" i="45"/>
  <c r="F43" i="45"/>
  <c r="E43" i="45"/>
  <c r="G43" i="45" s="1"/>
  <c r="C43" i="45"/>
  <c r="B43" i="45"/>
  <c r="A43" i="45"/>
  <c r="F42" i="45"/>
  <c r="E42" i="45"/>
  <c r="G42" i="45" s="1"/>
  <c r="C42" i="45"/>
  <c r="B42" i="45"/>
  <c r="A42" i="45"/>
  <c r="F41" i="45"/>
  <c r="E41" i="45"/>
  <c r="G41" i="45" s="1"/>
  <c r="C41" i="45"/>
  <c r="B41" i="45"/>
  <c r="A41" i="45"/>
  <c r="F40" i="45"/>
  <c r="E40" i="45"/>
  <c r="G40" i="45" s="1"/>
  <c r="C40" i="45"/>
  <c r="B40" i="45"/>
  <c r="A40" i="45"/>
  <c r="F39" i="45"/>
  <c r="E39" i="45"/>
  <c r="G39" i="45" s="1"/>
  <c r="C39" i="45"/>
  <c r="B39" i="45"/>
  <c r="A39" i="45"/>
  <c r="F38" i="45"/>
  <c r="E38" i="45"/>
  <c r="G38" i="45" s="1"/>
  <c r="C38" i="45"/>
  <c r="B38" i="45"/>
  <c r="A38" i="45"/>
  <c r="F37" i="45"/>
  <c r="E37" i="45"/>
  <c r="G37" i="45" s="1"/>
  <c r="C37" i="45"/>
  <c r="B37" i="45"/>
  <c r="A37" i="45"/>
  <c r="F36" i="45"/>
  <c r="E36" i="45"/>
  <c r="G36" i="45" s="1"/>
  <c r="C36" i="45"/>
  <c r="B36" i="45"/>
  <c r="A36" i="45"/>
  <c r="E37" i="5"/>
  <c r="F64" i="44"/>
  <c r="D64" i="44"/>
  <c r="G64" i="44" s="1"/>
  <c r="A64" i="44"/>
  <c r="F63" i="44"/>
  <c r="D63" i="44"/>
  <c r="G63" i="44" s="1"/>
  <c r="A63" i="44"/>
  <c r="E62" i="44"/>
  <c r="F62" i="44"/>
  <c r="D62" i="44"/>
  <c r="G62" i="44" s="1"/>
  <c r="A62" i="44"/>
  <c r="E61" i="44"/>
  <c r="F61" i="44"/>
  <c r="D61" i="44"/>
  <c r="G61" i="44" s="1"/>
  <c r="A61" i="44"/>
  <c r="E60" i="44"/>
  <c r="F60" i="44"/>
  <c r="D60" i="44"/>
  <c r="G60" i="44" s="1"/>
  <c r="A60" i="44"/>
  <c r="E59" i="44"/>
  <c r="F59" i="44"/>
  <c r="D59" i="44"/>
  <c r="G59" i="44" s="1"/>
  <c r="A59" i="44"/>
  <c r="E58" i="44"/>
  <c r="F58" i="44"/>
  <c r="D58" i="44"/>
  <c r="G58" i="44" s="1"/>
  <c r="A58" i="44"/>
  <c r="F51" i="44"/>
  <c r="E51" i="44"/>
  <c r="G51" i="44" s="1"/>
  <c r="C51" i="44"/>
  <c r="B51" i="44"/>
  <c r="A51" i="44"/>
  <c r="F50" i="44"/>
  <c r="E50" i="44"/>
  <c r="G50" i="44" s="1"/>
  <c r="C50" i="44"/>
  <c r="B50" i="44"/>
  <c r="A50" i="44"/>
  <c r="F49" i="44"/>
  <c r="E49" i="44"/>
  <c r="G49" i="44" s="1"/>
  <c r="C49" i="44"/>
  <c r="B49" i="44"/>
  <c r="A49" i="44"/>
  <c r="F48" i="44"/>
  <c r="E48" i="44"/>
  <c r="G48" i="44" s="1"/>
  <c r="C48" i="44"/>
  <c r="B48" i="44"/>
  <c r="A48" i="44"/>
  <c r="F47" i="44"/>
  <c r="E47" i="44"/>
  <c r="G47" i="44" s="1"/>
  <c r="C47" i="44"/>
  <c r="B47" i="44"/>
  <c r="A47" i="44"/>
  <c r="F46" i="44"/>
  <c r="E46" i="44"/>
  <c r="G46" i="44" s="1"/>
  <c r="C46" i="44"/>
  <c r="B46" i="44"/>
  <c r="A46" i="44"/>
  <c r="F45" i="44"/>
  <c r="E45" i="44"/>
  <c r="G45" i="44" s="1"/>
  <c r="C45" i="44"/>
  <c r="B45" i="44"/>
  <c r="A45" i="44"/>
  <c r="F44" i="44"/>
  <c r="E44" i="44"/>
  <c r="G44" i="44" s="1"/>
  <c r="C44" i="44"/>
  <c r="B44" i="44"/>
  <c r="A44" i="44"/>
  <c r="F43" i="44"/>
  <c r="E43" i="44"/>
  <c r="G43" i="44" s="1"/>
  <c r="C43" i="44"/>
  <c r="B43" i="44"/>
  <c r="A43" i="44"/>
  <c r="F42" i="44"/>
  <c r="E42" i="44"/>
  <c r="G42" i="44" s="1"/>
  <c r="C42" i="44"/>
  <c r="B42" i="44"/>
  <c r="A42" i="44"/>
  <c r="F41" i="44"/>
  <c r="E41" i="44"/>
  <c r="G41" i="44" s="1"/>
  <c r="C41" i="44"/>
  <c r="B41" i="44"/>
  <c r="A41" i="44"/>
  <c r="F40" i="44"/>
  <c r="E40" i="44"/>
  <c r="G40" i="44" s="1"/>
  <c r="C40" i="44"/>
  <c r="B40" i="44"/>
  <c r="A40" i="44"/>
  <c r="F39" i="44"/>
  <c r="E39" i="44"/>
  <c r="G39" i="44" s="1"/>
  <c r="C39" i="44"/>
  <c r="B39" i="44"/>
  <c r="A39" i="44"/>
  <c r="F38" i="44"/>
  <c r="E38" i="44"/>
  <c r="G38" i="44" s="1"/>
  <c r="C38" i="44"/>
  <c r="B38" i="44"/>
  <c r="A38" i="44"/>
  <c r="F37" i="44"/>
  <c r="E37" i="44"/>
  <c r="G37" i="44" s="1"/>
  <c r="C37" i="44"/>
  <c r="B37" i="44"/>
  <c r="A37" i="44"/>
  <c r="F36" i="44"/>
  <c r="E36" i="44"/>
  <c r="G36" i="44" s="1"/>
  <c r="C36" i="44"/>
  <c r="B36" i="44"/>
  <c r="A36" i="44"/>
  <c r="E36" i="5"/>
  <c r="E68" i="43"/>
  <c r="F68" i="43"/>
  <c r="D68" i="43"/>
  <c r="G68" i="43" s="1"/>
  <c r="A68" i="43"/>
  <c r="E67" i="43"/>
  <c r="F67" i="43"/>
  <c r="D67" i="43"/>
  <c r="G67" i="43" s="1"/>
  <c r="A67" i="43"/>
  <c r="E66" i="43"/>
  <c r="F66" i="43"/>
  <c r="D66" i="43"/>
  <c r="G66" i="43" s="1"/>
  <c r="A66" i="43"/>
  <c r="E65" i="43"/>
  <c r="F65" i="43"/>
  <c r="D65" i="43"/>
  <c r="G65" i="43" s="1"/>
  <c r="A65" i="43"/>
  <c r="E64" i="43"/>
  <c r="F64" i="43"/>
  <c r="D64" i="43"/>
  <c r="G64" i="43" s="1"/>
  <c r="A64" i="43"/>
  <c r="F57" i="43"/>
  <c r="E57" i="43"/>
  <c r="G57" i="43" s="1"/>
  <c r="C57" i="43"/>
  <c r="B57" i="43"/>
  <c r="A57" i="43"/>
  <c r="F56" i="43"/>
  <c r="E56" i="43"/>
  <c r="G56" i="43" s="1"/>
  <c r="C56" i="43"/>
  <c r="B56" i="43"/>
  <c r="A56" i="43"/>
  <c r="F55" i="43"/>
  <c r="E55" i="43"/>
  <c r="G55" i="43" s="1"/>
  <c r="C55" i="43"/>
  <c r="B55" i="43"/>
  <c r="A55" i="43"/>
  <c r="F54" i="43"/>
  <c r="E54" i="43"/>
  <c r="G54" i="43" s="1"/>
  <c r="C54" i="43"/>
  <c r="B54" i="43"/>
  <c r="A54" i="43"/>
  <c r="F53" i="43"/>
  <c r="E53" i="43"/>
  <c r="G53" i="43" s="1"/>
  <c r="C53" i="43"/>
  <c r="B53" i="43"/>
  <c r="A53" i="43"/>
  <c r="F52" i="43"/>
  <c r="E52" i="43"/>
  <c r="G52" i="43" s="1"/>
  <c r="C52" i="43"/>
  <c r="B52" i="43"/>
  <c r="A52" i="43"/>
  <c r="F51" i="43"/>
  <c r="E51" i="43"/>
  <c r="G51" i="43" s="1"/>
  <c r="C51" i="43"/>
  <c r="B51" i="43"/>
  <c r="A51" i="43"/>
  <c r="F50" i="43"/>
  <c r="E50" i="43"/>
  <c r="G50" i="43" s="1"/>
  <c r="C50" i="43"/>
  <c r="B50" i="43"/>
  <c r="A50" i="43"/>
  <c r="F49" i="43"/>
  <c r="E49" i="43"/>
  <c r="G49" i="43" s="1"/>
  <c r="C49" i="43"/>
  <c r="B49" i="43"/>
  <c r="A49" i="43"/>
  <c r="F48" i="43"/>
  <c r="E48" i="43"/>
  <c r="G48" i="43" s="1"/>
  <c r="C48" i="43"/>
  <c r="B48" i="43"/>
  <c r="A48" i="43"/>
  <c r="F47" i="43"/>
  <c r="E47" i="43"/>
  <c r="G47" i="43" s="1"/>
  <c r="C47" i="43"/>
  <c r="B47" i="43"/>
  <c r="A47" i="43"/>
  <c r="F46" i="43"/>
  <c r="E46" i="43"/>
  <c r="G46" i="43" s="1"/>
  <c r="C46" i="43"/>
  <c r="B46" i="43"/>
  <c r="A46" i="43"/>
  <c r="F45" i="43"/>
  <c r="E45" i="43"/>
  <c r="G45" i="43" s="1"/>
  <c r="C45" i="43"/>
  <c r="B45" i="43"/>
  <c r="A45" i="43"/>
  <c r="F44" i="43"/>
  <c r="E44" i="43"/>
  <c r="G44" i="43" s="1"/>
  <c r="C44" i="43"/>
  <c r="B44" i="43"/>
  <c r="A44" i="43"/>
  <c r="F43" i="43"/>
  <c r="E43" i="43"/>
  <c r="G43" i="43" s="1"/>
  <c r="C43" i="43"/>
  <c r="B43" i="43"/>
  <c r="A43" i="43"/>
  <c r="F42" i="43"/>
  <c r="E42" i="43"/>
  <c r="G42" i="43" s="1"/>
  <c r="C42" i="43"/>
  <c r="B42" i="43"/>
  <c r="A42" i="43"/>
  <c r="F41" i="43"/>
  <c r="E41" i="43"/>
  <c r="G41" i="43" s="1"/>
  <c r="C41" i="43"/>
  <c r="B41" i="43"/>
  <c r="A41" i="43"/>
  <c r="F40" i="43"/>
  <c r="E40" i="43"/>
  <c r="G40" i="43" s="1"/>
  <c r="C40" i="43"/>
  <c r="B40" i="43"/>
  <c r="A40" i="43"/>
  <c r="F39" i="43"/>
  <c r="E39" i="43"/>
  <c r="G39" i="43" s="1"/>
  <c r="C39" i="43"/>
  <c r="B39" i="43"/>
  <c r="A39" i="43"/>
  <c r="F38" i="43"/>
  <c r="E38" i="43"/>
  <c r="G38" i="43" s="1"/>
  <c r="C38" i="43"/>
  <c r="B38" i="43"/>
  <c r="A38" i="43"/>
  <c r="E35" i="5"/>
  <c r="F55" i="42"/>
  <c r="D55" i="42"/>
  <c r="G55" i="42" s="1"/>
  <c r="A55" i="42"/>
  <c r="F54" i="42"/>
  <c r="D54" i="42"/>
  <c r="G54" i="42" s="1"/>
  <c r="A54" i="42"/>
  <c r="E53" i="42"/>
  <c r="F53" i="42"/>
  <c r="D53" i="42"/>
  <c r="G53" i="42" s="1"/>
  <c r="A53" i="42"/>
  <c r="E52" i="42"/>
  <c r="F52" i="42"/>
  <c r="D52" i="42"/>
  <c r="G52" i="42" s="1"/>
  <c r="A52" i="42"/>
  <c r="E51" i="42"/>
  <c r="F51" i="42"/>
  <c r="D51" i="42"/>
  <c r="G51" i="42" s="1"/>
  <c r="A51" i="42"/>
  <c r="F44" i="42"/>
  <c r="E44" i="42"/>
  <c r="G44" i="42" s="1"/>
  <c r="C44" i="42"/>
  <c r="B44" i="42"/>
  <c r="A44" i="42"/>
  <c r="F43" i="42"/>
  <c r="E43" i="42"/>
  <c r="G43" i="42" s="1"/>
  <c r="C43" i="42"/>
  <c r="B43" i="42"/>
  <c r="A43" i="42"/>
  <c r="F42" i="42"/>
  <c r="E42" i="42"/>
  <c r="G42" i="42" s="1"/>
  <c r="C42" i="42"/>
  <c r="B42" i="42"/>
  <c r="A42" i="42"/>
  <c r="F41" i="42"/>
  <c r="E41" i="42"/>
  <c r="G41" i="42" s="1"/>
  <c r="C41" i="42"/>
  <c r="B41" i="42"/>
  <c r="A41" i="42"/>
  <c r="F40" i="42"/>
  <c r="E40" i="42"/>
  <c r="G40" i="42" s="1"/>
  <c r="C40" i="42"/>
  <c r="B40" i="42"/>
  <c r="A40" i="42"/>
  <c r="F39" i="42"/>
  <c r="E39" i="42"/>
  <c r="G39" i="42" s="1"/>
  <c r="C39" i="42"/>
  <c r="B39" i="42"/>
  <c r="A39" i="42"/>
  <c r="F38" i="42"/>
  <c r="E38" i="42"/>
  <c r="G38" i="42" s="1"/>
  <c r="C38" i="42"/>
  <c r="B38" i="42"/>
  <c r="A38" i="42"/>
  <c r="F37" i="42"/>
  <c r="E37" i="42"/>
  <c r="G37" i="42" s="1"/>
  <c r="C37" i="42"/>
  <c r="B37" i="42"/>
  <c r="A37" i="42"/>
  <c r="F36" i="42"/>
  <c r="E36" i="42"/>
  <c r="G36" i="42" s="1"/>
  <c r="C36" i="42"/>
  <c r="B36" i="42"/>
  <c r="A36" i="42"/>
  <c r="F35" i="42"/>
  <c r="E35" i="42"/>
  <c r="G35" i="42" s="1"/>
  <c r="C35" i="42"/>
  <c r="B35" i="42"/>
  <c r="A35" i="42"/>
  <c r="F34" i="42"/>
  <c r="E34" i="42"/>
  <c r="G34" i="42" s="1"/>
  <c r="C34" i="42"/>
  <c r="B34" i="42"/>
  <c r="A34" i="42"/>
  <c r="F33" i="42"/>
  <c r="E33" i="42"/>
  <c r="G33" i="42" s="1"/>
  <c r="C33" i="42"/>
  <c r="B33" i="42"/>
  <c r="A33" i="42"/>
  <c r="E34" i="5"/>
  <c r="F55" i="41"/>
  <c r="D55" i="41"/>
  <c r="G55" i="41" s="1"/>
  <c r="A55" i="41"/>
  <c r="F54" i="41"/>
  <c r="D54" i="41"/>
  <c r="G54" i="41" s="1"/>
  <c r="A54" i="41"/>
  <c r="E53" i="41"/>
  <c r="F53" i="41"/>
  <c r="D53" i="41"/>
  <c r="G53" i="41" s="1"/>
  <c r="A53" i="41"/>
  <c r="E52" i="41"/>
  <c r="F52" i="41"/>
  <c r="D52" i="41"/>
  <c r="G52" i="41" s="1"/>
  <c r="A52" i="41"/>
  <c r="E51" i="41"/>
  <c r="F51" i="41"/>
  <c r="D51" i="41"/>
  <c r="G51" i="41" s="1"/>
  <c r="A51" i="41"/>
  <c r="F44" i="41"/>
  <c r="E44" i="41"/>
  <c r="G44" i="41" s="1"/>
  <c r="C44" i="41"/>
  <c r="B44" i="41"/>
  <c r="A44" i="41"/>
  <c r="F43" i="41"/>
  <c r="E43" i="41"/>
  <c r="G43" i="41" s="1"/>
  <c r="C43" i="41"/>
  <c r="B43" i="41"/>
  <c r="A43" i="41"/>
  <c r="F42" i="41"/>
  <c r="E42" i="41"/>
  <c r="G42" i="41" s="1"/>
  <c r="C42" i="41"/>
  <c r="B42" i="41"/>
  <c r="A42" i="41"/>
  <c r="F41" i="41"/>
  <c r="E41" i="41"/>
  <c r="G41" i="41" s="1"/>
  <c r="C41" i="41"/>
  <c r="B41" i="41"/>
  <c r="A41" i="41"/>
  <c r="F40" i="41"/>
  <c r="E40" i="41"/>
  <c r="G40" i="41" s="1"/>
  <c r="C40" i="41"/>
  <c r="B40" i="41"/>
  <c r="A40" i="41"/>
  <c r="F39" i="41"/>
  <c r="E39" i="41"/>
  <c r="G39" i="41" s="1"/>
  <c r="C39" i="41"/>
  <c r="B39" i="41"/>
  <c r="A39" i="41"/>
  <c r="F38" i="41"/>
  <c r="E38" i="41"/>
  <c r="G38" i="41" s="1"/>
  <c r="C38" i="41"/>
  <c r="B38" i="41"/>
  <c r="A38" i="41"/>
  <c r="F37" i="41"/>
  <c r="E37" i="41"/>
  <c r="G37" i="41" s="1"/>
  <c r="C37" i="41"/>
  <c r="B37" i="41"/>
  <c r="A37" i="41"/>
  <c r="F36" i="41"/>
  <c r="E36" i="41"/>
  <c r="G36" i="41" s="1"/>
  <c r="C36" i="41"/>
  <c r="B36" i="41"/>
  <c r="A36" i="41"/>
  <c r="F35" i="41"/>
  <c r="E35" i="41"/>
  <c r="G35" i="41" s="1"/>
  <c r="C35" i="41"/>
  <c r="B35" i="41"/>
  <c r="A35" i="41"/>
  <c r="F34" i="41"/>
  <c r="E34" i="41"/>
  <c r="G34" i="41" s="1"/>
  <c r="C34" i="41"/>
  <c r="B34" i="41"/>
  <c r="A34" i="41"/>
  <c r="F33" i="41"/>
  <c r="E33" i="41"/>
  <c r="G33" i="41" s="1"/>
  <c r="C33" i="41"/>
  <c r="B33" i="41"/>
  <c r="A33" i="41"/>
  <c r="E33" i="5"/>
  <c r="F66" i="40"/>
  <c r="D66" i="40"/>
  <c r="G66" i="40" s="1"/>
  <c r="A66" i="40"/>
  <c r="F65" i="40"/>
  <c r="D65" i="40"/>
  <c r="G65" i="40" s="1"/>
  <c r="A65" i="40"/>
  <c r="E64" i="40"/>
  <c r="F64" i="40"/>
  <c r="D64" i="40"/>
  <c r="G64" i="40" s="1"/>
  <c r="A64" i="40"/>
  <c r="E63" i="40"/>
  <c r="F63" i="40"/>
  <c r="D63" i="40"/>
  <c r="G63" i="40" s="1"/>
  <c r="A63" i="40"/>
  <c r="E62" i="40"/>
  <c r="F62" i="40"/>
  <c r="D62" i="40"/>
  <c r="G62" i="40" s="1"/>
  <c r="A62" i="40"/>
  <c r="E61" i="40"/>
  <c r="F61" i="40"/>
  <c r="D61" i="40"/>
  <c r="G61" i="40" s="1"/>
  <c r="A61" i="40"/>
  <c r="F54" i="40"/>
  <c r="E54" i="40"/>
  <c r="G54" i="40" s="1"/>
  <c r="C54" i="40"/>
  <c r="B54" i="40"/>
  <c r="A54" i="40"/>
  <c r="F53" i="40"/>
  <c r="E53" i="40"/>
  <c r="G53" i="40" s="1"/>
  <c r="C53" i="40"/>
  <c r="B53" i="40"/>
  <c r="A53" i="40"/>
  <c r="F52" i="40"/>
  <c r="E52" i="40"/>
  <c r="G52" i="40" s="1"/>
  <c r="C52" i="40"/>
  <c r="B52" i="40"/>
  <c r="A52" i="40"/>
  <c r="F51" i="40"/>
  <c r="E51" i="40"/>
  <c r="G51" i="40" s="1"/>
  <c r="C51" i="40"/>
  <c r="B51" i="40"/>
  <c r="A51" i="40"/>
  <c r="F50" i="40"/>
  <c r="E50" i="40"/>
  <c r="G50" i="40" s="1"/>
  <c r="C50" i="40"/>
  <c r="B50" i="40"/>
  <c r="A50" i="40"/>
  <c r="F49" i="40"/>
  <c r="E49" i="40"/>
  <c r="G49" i="40" s="1"/>
  <c r="C49" i="40"/>
  <c r="B49" i="40"/>
  <c r="A49" i="40"/>
  <c r="F48" i="40"/>
  <c r="E48" i="40"/>
  <c r="G48" i="40" s="1"/>
  <c r="C48" i="40"/>
  <c r="B48" i="40"/>
  <c r="A48" i="40"/>
  <c r="F47" i="40"/>
  <c r="E47" i="40"/>
  <c r="G47" i="40" s="1"/>
  <c r="C47" i="40"/>
  <c r="B47" i="40"/>
  <c r="A47" i="40"/>
  <c r="F46" i="40"/>
  <c r="E46" i="40"/>
  <c r="G46" i="40" s="1"/>
  <c r="C46" i="40"/>
  <c r="B46" i="40"/>
  <c r="A46" i="40"/>
  <c r="F45" i="40"/>
  <c r="E45" i="40"/>
  <c r="G45" i="40" s="1"/>
  <c r="C45" i="40"/>
  <c r="B45" i="40"/>
  <c r="A45" i="40"/>
  <c r="F44" i="40"/>
  <c r="E44" i="40"/>
  <c r="G44" i="40" s="1"/>
  <c r="C44" i="40"/>
  <c r="B44" i="40"/>
  <c r="A44" i="40"/>
  <c r="F43" i="40"/>
  <c r="E43" i="40"/>
  <c r="G43" i="40" s="1"/>
  <c r="C43" i="40"/>
  <c r="B43" i="40"/>
  <c r="A43" i="40"/>
  <c r="F42" i="40"/>
  <c r="E42" i="40"/>
  <c r="G42" i="40" s="1"/>
  <c r="C42" i="40"/>
  <c r="B42" i="40"/>
  <c r="A42" i="40"/>
  <c r="F41" i="40"/>
  <c r="E41" i="40"/>
  <c r="G41" i="40" s="1"/>
  <c r="C41" i="40"/>
  <c r="B41" i="40"/>
  <c r="A41" i="40"/>
  <c r="F40" i="40"/>
  <c r="E40" i="40"/>
  <c r="G40" i="40" s="1"/>
  <c r="C40" i="40"/>
  <c r="B40" i="40"/>
  <c r="A40" i="40"/>
  <c r="F39" i="40"/>
  <c r="E39" i="40"/>
  <c r="G39" i="40" s="1"/>
  <c r="C39" i="40"/>
  <c r="B39" i="40"/>
  <c r="A39" i="40"/>
  <c r="F38" i="40"/>
  <c r="E38" i="40"/>
  <c r="G38" i="40" s="1"/>
  <c r="C38" i="40"/>
  <c r="B38" i="40"/>
  <c r="A38" i="40"/>
  <c r="F37" i="40"/>
  <c r="E37" i="40"/>
  <c r="G37" i="40" s="1"/>
  <c r="C37" i="40"/>
  <c r="B37" i="40"/>
  <c r="A37" i="40"/>
  <c r="F36" i="40"/>
  <c r="E36" i="40"/>
  <c r="G36" i="40" s="1"/>
  <c r="C36" i="40"/>
  <c r="B36" i="40"/>
  <c r="A36" i="40"/>
  <c r="E32" i="5"/>
  <c r="F55" i="39"/>
  <c r="D55" i="39"/>
  <c r="G55" i="39" s="1"/>
  <c r="A55" i="39"/>
  <c r="F54" i="39"/>
  <c r="D54" i="39"/>
  <c r="G54" i="39" s="1"/>
  <c r="A54" i="39"/>
  <c r="E53" i="39"/>
  <c r="F53" i="39"/>
  <c r="D53" i="39"/>
  <c r="G53" i="39" s="1"/>
  <c r="A53" i="39"/>
  <c r="E52" i="39"/>
  <c r="F52" i="39"/>
  <c r="D52" i="39"/>
  <c r="G52" i="39" s="1"/>
  <c r="A52" i="39"/>
  <c r="E51" i="39"/>
  <c r="F51" i="39"/>
  <c r="D51" i="39"/>
  <c r="G51" i="39" s="1"/>
  <c r="A51" i="39"/>
  <c r="F44" i="39"/>
  <c r="E44" i="39"/>
  <c r="G44" i="39" s="1"/>
  <c r="C44" i="39"/>
  <c r="B44" i="39"/>
  <c r="A44" i="39"/>
  <c r="F43" i="39"/>
  <c r="E43" i="39"/>
  <c r="G43" i="39" s="1"/>
  <c r="C43" i="39"/>
  <c r="B43" i="39"/>
  <c r="A43" i="39"/>
  <c r="F42" i="39"/>
  <c r="E42" i="39"/>
  <c r="G42" i="39" s="1"/>
  <c r="C42" i="39"/>
  <c r="B42" i="39"/>
  <c r="A42" i="39"/>
  <c r="F41" i="39"/>
  <c r="E41" i="39"/>
  <c r="G41" i="39" s="1"/>
  <c r="C41" i="39"/>
  <c r="B41" i="39"/>
  <c r="A41" i="39"/>
  <c r="F40" i="39"/>
  <c r="E40" i="39"/>
  <c r="G40" i="39" s="1"/>
  <c r="C40" i="39"/>
  <c r="B40" i="39"/>
  <c r="A40" i="39"/>
  <c r="F39" i="39"/>
  <c r="E39" i="39"/>
  <c r="G39" i="39" s="1"/>
  <c r="C39" i="39"/>
  <c r="B39" i="39"/>
  <c r="A39" i="39"/>
  <c r="F38" i="39"/>
  <c r="E38" i="39"/>
  <c r="G38" i="39" s="1"/>
  <c r="C38" i="39"/>
  <c r="B38" i="39"/>
  <c r="A38" i="39"/>
  <c r="F37" i="39"/>
  <c r="E37" i="39"/>
  <c r="G37" i="39" s="1"/>
  <c r="C37" i="39"/>
  <c r="B37" i="39"/>
  <c r="A37" i="39"/>
  <c r="F36" i="39"/>
  <c r="E36" i="39"/>
  <c r="G36" i="39" s="1"/>
  <c r="C36" i="39"/>
  <c r="B36" i="39"/>
  <c r="A36" i="39"/>
  <c r="F35" i="39"/>
  <c r="E35" i="39"/>
  <c r="G35" i="39" s="1"/>
  <c r="C35" i="39"/>
  <c r="B35" i="39"/>
  <c r="A35" i="39"/>
  <c r="F34" i="39"/>
  <c r="E34" i="39"/>
  <c r="G34" i="39" s="1"/>
  <c r="C34" i="39"/>
  <c r="B34" i="39"/>
  <c r="A34" i="39"/>
  <c r="F33" i="39"/>
  <c r="E33" i="39"/>
  <c r="G33" i="39" s="1"/>
  <c r="C33" i="39"/>
  <c r="B33" i="39"/>
  <c r="A33" i="39"/>
  <c r="E31" i="5"/>
  <c r="F56" i="38"/>
  <c r="D56" i="38"/>
  <c r="G56" i="38" s="1"/>
  <c r="A56" i="38"/>
  <c r="F55" i="38"/>
  <c r="D55" i="38"/>
  <c r="G55" i="38" s="1"/>
  <c r="A55" i="38"/>
  <c r="E54" i="38"/>
  <c r="F54" i="38"/>
  <c r="D54" i="38"/>
  <c r="A54" i="38"/>
  <c r="E53" i="38"/>
  <c r="F53" i="38"/>
  <c r="D53" i="38"/>
  <c r="A53" i="38"/>
  <c r="E52" i="38"/>
  <c r="F52" i="38"/>
  <c r="D52" i="38"/>
  <c r="A52" i="38"/>
  <c r="F45" i="38"/>
  <c r="E45" i="38"/>
  <c r="G45" i="38" s="1"/>
  <c r="C45" i="38"/>
  <c r="B45" i="38"/>
  <c r="A45" i="38"/>
  <c r="F44" i="38"/>
  <c r="E44" i="38"/>
  <c r="G44" i="38" s="1"/>
  <c r="C44" i="38"/>
  <c r="B44" i="38"/>
  <c r="A44" i="38"/>
  <c r="F43" i="38"/>
  <c r="E43" i="38"/>
  <c r="G43" i="38" s="1"/>
  <c r="C43" i="38"/>
  <c r="B43" i="38"/>
  <c r="A43" i="38"/>
  <c r="F42" i="38"/>
  <c r="E42" i="38"/>
  <c r="G42" i="38" s="1"/>
  <c r="C42" i="38"/>
  <c r="B42" i="38"/>
  <c r="A42" i="38"/>
  <c r="F41" i="38"/>
  <c r="E41" i="38"/>
  <c r="G41" i="38" s="1"/>
  <c r="C41" i="38"/>
  <c r="B41" i="38"/>
  <c r="A41" i="38"/>
  <c r="F40" i="38"/>
  <c r="E40" i="38"/>
  <c r="G40" i="38" s="1"/>
  <c r="C40" i="38"/>
  <c r="B40" i="38"/>
  <c r="A40" i="38"/>
  <c r="F39" i="38"/>
  <c r="E39" i="38"/>
  <c r="G39" i="38" s="1"/>
  <c r="C39" i="38"/>
  <c r="B39" i="38"/>
  <c r="A39" i="38"/>
  <c r="F38" i="38"/>
  <c r="E38" i="38"/>
  <c r="G38" i="38" s="1"/>
  <c r="C38" i="38"/>
  <c r="B38" i="38"/>
  <c r="A38" i="38"/>
  <c r="F37" i="38"/>
  <c r="E37" i="38"/>
  <c r="G37" i="38" s="1"/>
  <c r="C37" i="38"/>
  <c r="B37" i="38"/>
  <c r="A37" i="38"/>
  <c r="F36" i="38"/>
  <c r="E36" i="38"/>
  <c r="G36" i="38" s="1"/>
  <c r="C36" i="38"/>
  <c r="B36" i="38"/>
  <c r="A36" i="38"/>
  <c r="F35" i="38"/>
  <c r="E35" i="38"/>
  <c r="G35" i="38" s="1"/>
  <c r="C35" i="38"/>
  <c r="B35" i="38"/>
  <c r="A35" i="38"/>
  <c r="F34" i="38"/>
  <c r="E34" i="38"/>
  <c r="G34" i="38" s="1"/>
  <c r="C34" i="38"/>
  <c r="B34" i="38"/>
  <c r="A34" i="38"/>
  <c r="F33" i="38"/>
  <c r="E33" i="38"/>
  <c r="G33" i="38" s="1"/>
  <c r="C33" i="38"/>
  <c r="B33" i="38"/>
  <c r="A33" i="38"/>
  <c r="F32" i="38"/>
  <c r="E32" i="38"/>
  <c r="G32" i="38" s="1"/>
  <c r="C32" i="38"/>
  <c r="B32" i="38"/>
  <c r="A32" i="38"/>
  <c r="E30" i="5"/>
  <c r="F55" i="37"/>
  <c r="D55" i="37"/>
  <c r="G55" i="37" s="1"/>
  <c r="A55" i="37"/>
  <c r="F54" i="37"/>
  <c r="D54" i="37"/>
  <c r="G54" i="37" s="1"/>
  <c r="A54" i="37"/>
  <c r="E53" i="37"/>
  <c r="F53" i="37"/>
  <c r="D53" i="37"/>
  <c r="G53" i="37" s="1"/>
  <c r="A53" i="37"/>
  <c r="E52" i="37"/>
  <c r="F52" i="37"/>
  <c r="D52" i="37"/>
  <c r="G52" i="37" s="1"/>
  <c r="A52" i="37"/>
  <c r="E51" i="37"/>
  <c r="F51" i="37"/>
  <c r="D51" i="37"/>
  <c r="G51" i="37" s="1"/>
  <c r="A51" i="37"/>
  <c r="F44" i="37"/>
  <c r="E44" i="37"/>
  <c r="G44" i="37" s="1"/>
  <c r="C44" i="37"/>
  <c r="B44" i="37"/>
  <c r="A44" i="37"/>
  <c r="F43" i="37"/>
  <c r="E43" i="37"/>
  <c r="G43" i="37" s="1"/>
  <c r="C43" i="37"/>
  <c r="B43" i="37"/>
  <c r="A43" i="37"/>
  <c r="F42" i="37"/>
  <c r="E42" i="37"/>
  <c r="G42" i="37" s="1"/>
  <c r="C42" i="37"/>
  <c r="B42" i="37"/>
  <c r="A42" i="37"/>
  <c r="F41" i="37"/>
  <c r="E41" i="37"/>
  <c r="G41" i="37" s="1"/>
  <c r="C41" i="37"/>
  <c r="B41" i="37"/>
  <c r="A41" i="37"/>
  <c r="F40" i="37"/>
  <c r="E40" i="37"/>
  <c r="G40" i="37" s="1"/>
  <c r="C40" i="37"/>
  <c r="B40" i="37"/>
  <c r="A40" i="37"/>
  <c r="F39" i="37"/>
  <c r="E39" i="37"/>
  <c r="G39" i="37" s="1"/>
  <c r="C39" i="37"/>
  <c r="B39" i="37"/>
  <c r="A39" i="37"/>
  <c r="F38" i="37"/>
  <c r="E38" i="37"/>
  <c r="G38" i="37" s="1"/>
  <c r="C38" i="37"/>
  <c r="B38" i="37"/>
  <c r="A38" i="37"/>
  <c r="F37" i="37"/>
  <c r="E37" i="37"/>
  <c r="G37" i="37" s="1"/>
  <c r="C37" i="37"/>
  <c r="B37" i="37"/>
  <c r="A37" i="37"/>
  <c r="F36" i="37"/>
  <c r="E36" i="37"/>
  <c r="G36" i="37" s="1"/>
  <c r="C36" i="37"/>
  <c r="B36" i="37"/>
  <c r="A36" i="37"/>
  <c r="F35" i="37"/>
  <c r="E35" i="37"/>
  <c r="G35" i="37" s="1"/>
  <c r="C35" i="37"/>
  <c r="B35" i="37"/>
  <c r="A35" i="37"/>
  <c r="F34" i="37"/>
  <c r="E34" i="37"/>
  <c r="G34" i="37" s="1"/>
  <c r="C34" i="37"/>
  <c r="B34" i="37"/>
  <c r="A34" i="37"/>
  <c r="F33" i="37"/>
  <c r="E33" i="37"/>
  <c r="G33" i="37" s="1"/>
  <c r="C33" i="37"/>
  <c r="B33" i="37"/>
  <c r="A33" i="37"/>
  <c r="E29" i="5"/>
  <c r="F66" i="36"/>
  <c r="D66" i="36"/>
  <c r="G66" i="36" s="1"/>
  <c r="A66" i="36"/>
  <c r="F65" i="36"/>
  <c r="D65" i="36"/>
  <c r="G65" i="36" s="1"/>
  <c r="A65" i="36"/>
  <c r="E64" i="36"/>
  <c r="F64" i="36"/>
  <c r="D64" i="36"/>
  <c r="G64" i="36" s="1"/>
  <c r="A64" i="36"/>
  <c r="E63" i="36"/>
  <c r="F63" i="36"/>
  <c r="D63" i="36"/>
  <c r="A63" i="36"/>
  <c r="E62" i="36"/>
  <c r="F62" i="36"/>
  <c r="D62" i="36"/>
  <c r="G62" i="36" s="1"/>
  <c r="A62" i="36"/>
  <c r="E61" i="36"/>
  <c r="F61" i="36"/>
  <c r="D61" i="36"/>
  <c r="G61" i="36" s="1"/>
  <c r="A61" i="36"/>
  <c r="F54" i="36"/>
  <c r="E54" i="36"/>
  <c r="G54" i="36" s="1"/>
  <c r="C54" i="36"/>
  <c r="B54" i="36"/>
  <c r="A54" i="36"/>
  <c r="F53" i="36"/>
  <c r="E53" i="36"/>
  <c r="G53" i="36" s="1"/>
  <c r="C53" i="36"/>
  <c r="B53" i="36"/>
  <c r="A53" i="36"/>
  <c r="F52" i="36"/>
  <c r="E52" i="36"/>
  <c r="G52" i="36" s="1"/>
  <c r="C52" i="36"/>
  <c r="B52" i="36"/>
  <c r="A52" i="36"/>
  <c r="F51" i="36"/>
  <c r="E51" i="36"/>
  <c r="G51" i="36" s="1"/>
  <c r="C51" i="36"/>
  <c r="B51" i="36"/>
  <c r="A51" i="36"/>
  <c r="F50" i="36"/>
  <c r="E50" i="36"/>
  <c r="G50" i="36" s="1"/>
  <c r="C50" i="36"/>
  <c r="B50" i="36"/>
  <c r="A50" i="36"/>
  <c r="F49" i="36"/>
  <c r="E49" i="36"/>
  <c r="G49" i="36" s="1"/>
  <c r="C49" i="36"/>
  <c r="B49" i="36"/>
  <c r="A49" i="36"/>
  <c r="F48" i="36"/>
  <c r="E48" i="36"/>
  <c r="G48" i="36" s="1"/>
  <c r="C48" i="36"/>
  <c r="B48" i="36"/>
  <c r="A48" i="36"/>
  <c r="F47" i="36"/>
  <c r="E47" i="36"/>
  <c r="G47" i="36" s="1"/>
  <c r="C47" i="36"/>
  <c r="B47" i="36"/>
  <c r="A47" i="36"/>
  <c r="F46" i="36"/>
  <c r="E46" i="36"/>
  <c r="G46" i="36" s="1"/>
  <c r="C46" i="36"/>
  <c r="B46" i="36"/>
  <c r="A46" i="36"/>
  <c r="F45" i="36"/>
  <c r="E45" i="36"/>
  <c r="G45" i="36" s="1"/>
  <c r="C45" i="36"/>
  <c r="B45" i="36"/>
  <c r="A45" i="36"/>
  <c r="F44" i="36"/>
  <c r="E44" i="36"/>
  <c r="G44" i="36" s="1"/>
  <c r="C44" i="36"/>
  <c r="B44" i="36"/>
  <c r="A44" i="36"/>
  <c r="F43" i="36"/>
  <c r="E43" i="36"/>
  <c r="G43" i="36" s="1"/>
  <c r="C43" i="36"/>
  <c r="B43" i="36"/>
  <c r="A43" i="36"/>
  <c r="F42" i="36"/>
  <c r="E42" i="36"/>
  <c r="G42" i="36" s="1"/>
  <c r="C42" i="36"/>
  <c r="B42" i="36"/>
  <c r="A42" i="36"/>
  <c r="F41" i="36"/>
  <c r="E41" i="36"/>
  <c r="G41" i="36" s="1"/>
  <c r="C41" i="36"/>
  <c r="B41" i="36"/>
  <c r="A41" i="36"/>
  <c r="F40" i="36"/>
  <c r="E40" i="36"/>
  <c r="G40" i="36" s="1"/>
  <c r="C40" i="36"/>
  <c r="B40" i="36"/>
  <c r="A40" i="36"/>
  <c r="F39" i="36"/>
  <c r="E39" i="36"/>
  <c r="G39" i="36" s="1"/>
  <c r="C39" i="36"/>
  <c r="B39" i="36"/>
  <c r="A39" i="36"/>
  <c r="F38" i="36"/>
  <c r="E38" i="36"/>
  <c r="G38" i="36" s="1"/>
  <c r="C38" i="36"/>
  <c r="B38" i="36"/>
  <c r="A38" i="36"/>
  <c r="F37" i="36"/>
  <c r="E37" i="36"/>
  <c r="G37" i="36" s="1"/>
  <c r="C37" i="36"/>
  <c r="B37" i="36"/>
  <c r="A37" i="36"/>
  <c r="F36" i="36"/>
  <c r="E36" i="36"/>
  <c r="G36" i="36" s="1"/>
  <c r="C36" i="36"/>
  <c r="B36" i="36"/>
  <c r="A36" i="36"/>
  <c r="E28" i="5"/>
  <c r="F58" i="35"/>
  <c r="D58" i="35"/>
  <c r="G58" i="35" s="1"/>
  <c r="A58" i="35"/>
  <c r="F57" i="35"/>
  <c r="D57" i="35"/>
  <c r="G57" i="35" s="1"/>
  <c r="A57" i="35"/>
  <c r="F56" i="35"/>
  <c r="D56" i="35"/>
  <c r="G56" i="35" s="1"/>
  <c r="A56" i="35"/>
  <c r="E55" i="35"/>
  <c r="F55" i="35"/>
  <c r="D55" i="35"/>
  <c r="G55" i="35" s="1"/>
  <c r="A55" i="35"/>
  <c r="E54" i="35"/>
  <c r="F54" i="35"/>
  <c r="D54" i="35"/>
  <c r="G54" i="35" s="1"/>
  <c r="A54" i="35"/>
  <c r="E53" i="35"/>
  <c r="F53" i="35"/>
  <c r="D53" i="35"/>
  <c r="G53" i="35" s="1"/>
  <c r="A53" i="35"/>
  <c r="E52" i="35"/>
  <c r="F52" i="35"/>
  <c r="D52" i="35"/>
  <c r="A52" i="35"/>
  <c r="F45" i="35"/>
  <c r="E45" i="35"/>
  <c r="G45" i="35" s="1"/>
  <c r="C45" i="35"/>
  <c r="B45" i="35"/>
  <c r="A45" i="35"/>
  <c r="F44" i="35"/>
  <c r="E44" i="35"/>
  <c r="G44" i="35" s="1"/>
  <c r="C44" i="35"/>
  <c r="B44" i="35"/>
  <c r="A44" i="35"/>
  <c r="F43" i="35"/>
  <c r="E43" i="35"/>
  <c r="G43" i="35" s="1"/>
  <c r="C43" i="35"/>
  <c r="B43" i="35"/>
  <c r="A43" i="35"/>
  <c r="F42" i="35"/>
  <c r="E42" i="35"/>
  <c r="G42" i="35" s="1"/>
  <c r="C42" i="35"/>
  <c r="B42" i="35"/>
  <c r="A42" i="35"/>
  <c r="F41" i="35"/>
  <c r="E41" i="35"/>
  <c r="G41" i="35" s="1"/>
  <c r="C41" i="35"/>
  <c r="B41" i="35"/>
  <c r="A41" i="35"/>
  <c r="F40" i="35"/>
  <c r="E40" i="35"/>
  <c r="G40" i="35" s="1"/>
  <c r="C40" i="35"/>
  <c r="B40" i="35"/>
  <c r="A40" i="35"/>
  <c r="F39" i="35"/>
  <c r="E39" i="35"/>
  <c r="G39" i="35" s="1"/>
  <c r="C39" i="35"/>
  <c r="B39" i="35"/>
  <c r="A39" i="35"/>
  <c r="F38" i="35"/>
  <c r="E38" i="35"/>
  <c r="G38" i="35" s="1"/>
  <c r="C38" i="35"/>
  <c r="B38" i="35"/>
  <c r="A38" i="35"/>
  <c r="F37" i="35"/>
  <c r="E37" i="35"/>
  <c r="G37" i="35" s="1"/>
  <c r="C37" i="35"/>
  <c r="B37" i="35"/>
  <c r="A37" i="35"/>
  <c r="F36" i="35"/>
  <c r="E36" i="35"/>
  <c r="G36" i="35" s="1"/>
  <c r="C36" i="35"/>
  <c r="B36" i="35"/>
  <c r="A36" i="35"/>
  <c r="F35" i="35"/>
  <c r="E35" i="35"/>
  <c r="G35" i="35" s="1"/>
  <c r="C35" i="35"/>
  <c r="B35" i="35"/>
  <c r="A35" i="35"/>
  <c r="E27" i="5"/>
  <c r="E68" i="34"/>
  <c r="F68" i="34"/>
  <c r="D68" i="34"/>
  <c r="G68" i="34" s="1"/>
  <c r="A68" i="34"/>
  <c r="E67" i="34"/>
  <c r="F67" i="34"/>
  <c r="D67" i="34"/>
  <c r="G67" i="34" s="1"/>
  <c r="A67" i="34"/>
  <c r="E66" i="34"/>
  <c r="F66" i="34"/>
  <c r="D66" i="34"/>
  <c r="G66" i="34" s="1"/>
  <c r="A66" i="34"/>
  <c r="E65" i="34"/>
  <c r="F65" i="34"/>
  <c r="D65" i="34"/>
  <c r="G65" i="34" s="1"/>
  <c r="A65" i="34"/>
  <c r="E64" i="34"/>
  <c r="F64" i="34"/>
  <c r="D64" i="34"/>
  <c r="G64" i="34" s="1"/>
  <c r="A64" i="34"/>
  <c r="F57" i="34"/>
  <c r="E57" i="34"/>
  <c r="G57" i="34" s="1"/>
  <c r="C57" i="34"/>
  <c r="B57" i="34"/>
  <c r="A57" i="34"/>
  <c r="F56" i="34"/>
  <c r="E56" i="34"/>
  <c r="G56" i="34" s="1"/>
  <c r="C56" i="34"/>
  <c r="B56" i="34"/>
  <c r="A56" i="34"/>
  <c r="F55" i="34"/>
  <c r="E55" i="34"/>
  <c r="G55" i="34" s="1"/>
  <c r="C55" i="34"/>
  <c r="B55" i="34"/>
  <c r="A55" i="34"/>
  <c r="F54" i="34"/>
  <c r="E54" i="34"/>
  <c r="G54" i="34" s="1"/>
  <c r="C54" i="34"/>
  <c r="B54" i="34"/>
  <c r="A54" i="34"/>
  <c r="F53" i="34"/>
  <c r="E53" i="34"/>
  <c r="G53" i="34" s="1"/>
  <c r="C53" i="34"/>
  <c r="B53" i="34"/>
  <c r="A53" i="34"/>
  <c r="F52" i="34"/>
  <c r="E52" i="34"/>
  <c r="G52" i="34" s="1"/>
  <c r="C52" i="34"/>
  <c r="B52" i="34"/>
  <c r="A52" i="34"/>
  <c r="F51" i="34"/>
  <c r="E51" i="34"/>
  <c r="G51" i="34" s="1"/>
  <c r="C51" i="34"/>
  <c r="B51" i="34"/>
  <c r="A51" i="34"/>
  <c r="F50" i="34"/>
  <c r="E50" i="34"/>
  <c r="G50" i="34" s="1"/>
  <c r="C50" i="34"/>
  <c r="B50" i="34"/>
  <c r="A50" i="34"/>
  <c r="F49" i="34"/>
  <c r="E49" i="34"/>
  <c r="G49" i="34" s="1"/>
  <c r="C49" i="34"/>
  <c r="B49" i="34"/>
  <c r="A49" i="34"/>
  <c r="F48" i="34"/>
  <c r="E48" i="34"/>
  <c r="G48" i="34" s="1"/>
  <c r="C48" i="34"/>
  <c r="B48" i="34"/>
  <c r="A48" i="34"/>
  <c r="F47" i="34"/>
  <c r="E47" i="34"/>
  <c r="G47" i="34" s="1"/>
  <c r="C47" i="34"/>
  <c r="B47" i="34"/>
  <c r="A47" i="34"/>
  <c r="F46" i="34"/>
  <c r="E46" i="34"/>
  <c r="G46" i="34" s="1"/>
  <c r="C46" i="34"/>
  <c r="B46" i="34"/>
  <c r="A46" i="34"/>
  <c r="F45" i="34"/>
  <c r="E45" i="34"/>
  <c r="G45" i="34" s="1"/>
  <c r="C45" i="34"/>
  <c r="B45" i="34"/>
  <c r="A45" i="34"/>
  <c r="F44" i="34"/>
  <c r="E44" i="34"/>
  <c r="G44" i="34" s="1"/>
  <c r="C44" i="34"/>
  <c r="B44" i="34"/>
  <c r="A44" i="34"/>
  <c r="F43" i="34"/>
  <c r="E43" i="34"/>
  <c r="G43" i="34" s="1"/>
  <c r="C43" i="34"/>
  <c r="B43" i="34"/>
  <c r="A43" i="34"/>
  <c r="F42" i="34"/>
  <c r="E42" i="34"/>
  <c r="G42" i="34" s="1"/>
  <c r="C42" i="34"/>
  <c r="B42" i="34"/>
  <c r="A42" i="34"/>
  <c r="F41" i="34"/>
  <c r="E41" i="34"/>
  <c r="G41" i="34" s="1"/>
  <c r="C41" i="34"/>
  <c r="B41" i="34"/>
  <c r="A41" i="34"/>
  <c r="F40" i="34"/>
  <c r="E40" i="34"/>
  <c r="G40" i="34" s="1"/>
  <c r="C40" i="34"/>
  <c r="B40" i="34"/>
  <c r="A40" i="34"/>
  <c r="F39" i="34"/>
  <c r="E39" i="34"/>
  <c r="G39" i="34" s="1"/>
  <c r="C39" i="34"/>
  <c r="B39" i="34"/>
  <c r="A39" i="34"/>
  <c r="F38" i="34"/>
  <c r="E38" i="34"/>
  <c r="G38" i="34" s="1"/>
  <c r="C38" i="34"/>
  <c r="B38" i="34"/>
  <c r="A38" i="34"/>
  <c r="E26" i="5"/>
  <c r="F59" i="33"/>
  <c r="D59" i="33"/>
  <c r="G59" i="33" s="1"/>
  <c r="A59" i="33"/>
  <c r="F58" i="33"/>
  <c r="D58" i="33"/>
  <c r="G58" i="33" s="1"/>
  <c r="A58" i="33"/>
  <c r="F57" i="33"/>
  <c r="D57" i="33"/>
  <c r="G57" i="33" s="1"/>
  <c r="A57" i="33"/>
  <c r="E56" i="33"/>
  <c r="F56" i="33"/>
  <c r="D56" i="33"/>
  <c r="A56" i="33"/>
  <c r="E55" i="33"/>
  <c r="F55" i="33"/>
  <c r="D55" i="33"/>
  <c r="G55" i="33" s="1"/>
  <c r="A55" i="33"/>
  <c r="E54" i="33"/>
  <c r="F54" i="33"/>
  <c r="D54" i="33"/>
  <c r="G54" i="33" s="1"/>
  <c r="A54" i="33"/>
  <c r="E53" i="33"/>
  <c r="F53" i="33"/>
  <c r="D53" i="33"/>
  <c r="G53" i="33" s="1"/>
  <c r="A53" i="33"/>
  <c r="F46" i="33"/>
  <c r="E46" i="33"/>
  <c r="G46" i="33" s="1"/>
  <c r="C46" i="33"/>
  <c r="B46" i="33"/>
  <c r="A46" i="33"/>
  <c r="F45" i="33"/>
  <c r="E45" i="33"/>
  <c r="G45" i="33" s="1"/>
  <c r="C45" i="33"/>
  <c r="B45" i="33"/>
  <c r="A45" i="33"/>
  <c r="F44" i="33"/>
  <c r="E44" i="33"/>
  <c r="G44" i="33" s="1"/>
  <c r="C44" i="33"/>
  <c r="B44" i="33"/>
  <c r="A44" i="33"/>
  <c r="F43" i="33"/>
  <c r="E43" i="33"/>
  <c r="G43" i="33" s="1"/>
  <c r="C43" i="33"/>
  <c r="B43" i="33"/>
  <c r="A43" i="33"/>
  <c r="F42" i="33"/>
  <c r="E42" i="33"/>
  <c r="G42" i="33" s="1"/>
  <c r="C42" i="33"/>
  <c r="B42" i="33"/>
  <c r="A42" i="33"/>
  <c r="F41" i="33"/>
  <c r="E41" i="33"/>
  <c r="G41" i="33" s="1"/>
  <c r="C41" i="33"/>
  <c r="B41" i="33"/>
  <c r="A41" i="33"/>
  <c r="F40" i="33"/>
  <c r="E40" i="33"/>
  <c r="G40" i="33" s="1"/>
  <c r="C40" i="33"/>
  <c r="B40" i="33"/>
  <c r="A40" i="33"/>
  <c r="F39" i="33"/>
  <c r="E39" i="33"/>
  <c r="G39" i="33" s="1"/>
  <c r="C39" i="33"/>
  <c r="B39" i="33"/>
  <c r="A39" i="33"/>
  <c r="F38" i="33"/>
  <c r="E38" i="33"/>
  <c r="G38" i="33" s="1"/>
  <c r="C38" i="33"/>
  <c r="B38" i="33"/>
  <c r="A38" i="33"/>
  <c r="F37" i="33"/>
  <c r="E37" i="33"/>
  <c r="G37" i="33" s="1"/>
  <c r="C37" i="33"/>
  <c r="B37" i="33"/>
  <c r="A37" i="33"/>
  <c r="F36" i="33"/>
  <c r="E36" i="33"/>
  <c r="G36" i="33" s="1"/>
  <c r="C36" i="33"/>
  <c r="B36" i="33"/>
  <c r="A36" i="33"/>
  <c r="F35" i="33"/>
  <c r="E35" i="33"/>
  <c r="G35" i="33" s="1"/>
  <c r="C35" i="33"/>
  <c r="B35" i="33"/>
  <c r="A35" i="33"/>
  <c r="E25" i="5"/>
  <c r="E68" i="32"/>
  <c r="F68" i="32"/>
  <c r="D68" i="32"/>
  <c r="G68" i="32" s="1"/>
  <c r="A68" i="32"/>
  <c r="E67" i="32"/>
  <c r="F67" i="32"/>
  <c r="D67" i="32"/>
  <c r="G67" i="32" s="1"/>
  <c r="A67" i="32"/>
  <c r="E66" i="32"/>
  <c r="F66" i="32"/>
  <c r="D66" i="32"/>
  <c r="G66" i="32" s="1"/>
  <c r="A66" i="32"/>
  <c r="E65" i="32"/>
  <c r="F65" i="32"/>
  <c r="D65" i="32"/>
  <c r="G65" i="32" s="1"/>
  <c r="A65" i="32"/>
  <c r="E64" i="32"/>
  <c r="F64" i="32"/>
  <c r="D64" i="32"/>
  <c r="G64" i="32" s="1"/>
  <c r="A64" i="32"/>
  <c r="F57" i="32"/>
  <c r="E57" i="32"/>
  <c r="G57" i="32" s="1"/>
  <c r="C57" i="32"/>
  <c r="B57" i="32"/>
  <c r="A57" i="32"/>
  <c r="F56" i="32"/>
  <c r="E56" i="32"/>
  <c r="G56" i="32" s="1"/>
  <c r="C56" i="32"/>
  <c r="B56" i="32"/>
  <c r="A56" i="32"/>
  <c r="F55" i="32"/>
  <c r="E55" i="32"/>
  <c r="G55" i="32" s="1"/>
  <c r="C55" i="32"/>
  <c r="B55" i="32"/>
  <c r="A55" i="32"/>
  <c r="F54" i="32"/>
  <c r="E54" i="32"/>
  <c r="G54" i="32" s="1"/>
  <c r="C54" i="32"/>
  <c r="B54" i="32"/>
  <c r="A54" i="32"/>
  <c r="F53" i="32"/>
  <c r="E53" i="32"/>
  <c r="G53" i="32" s="1"/>
  <c r="C53" i="32"/>
  <c r="B53" i="32"/>
  <c r="A53" i="32"/>
  <c r="F52" i="32"/>
  <c r="E52" i="32"/>
  <c r="G52" i="32" s="1"/>
  <c r="C52" i="32"/>
  <c r="B52" i="32"/>
  <c r="A52" i="32"/>
  <c r="F51" i="32"/>
  <c r="E51" i="32"/>
  <c r="G51" i="32" s="1"/>
  <c r="C51" i="32"/>
  <c r="B51" i="32"/>
  <c r="A51" i="32"/>
  <c r="F50" i="32"/>
  <c r="E50" i="32"/>
  <c r="G50" i="32" s="1"/>
  <c r="C50" i="32"/>
  <c r="B50" i="32"/>
  <c r="A50" i="32"/>
  <c r="F49" i="32"/>
  <c r="E49" i="32"/>
  <c r="G49" i="32" s="1"/>
  <c r="C49" i="32"/>
  <c r="B49" i="32"/>
  <c r="A49" i="32"/>
  <c r="F48" i="32"/>
  <c r="E48" i="32"/>
  <c r="G48" i="32" s="1"/>
  <c r="C48" i="32"/>
  <c r="B48" i="32"/>
  <c r="A48" i="32"/>
  <c r="F47" i="32"/>
  <c r="E47" i="32"/>
  <c r="G47" i="32" s="1"/>
  <c r="C47" i="32"/>
  <c r="B47" i="32"/>
  <c r="A47" i="32"/>
  <c r="F46" i="32"/>
  <c r="E46" i="32"/>
  <c r="G46" i="32" s="1"/>
  <c r="C46" i="32"/>
  <c r="B46" i="32"/>
  <c r="A46" i="32"/>
  <c r="F45" i="32"/>
  <c r="E45" i="32"/>
  <c r="G45" i="32" s="1"/>
  <c r="C45" i="32"/>
  <c r="B45" i="32"/>
  <c r="A45" i="32"/>
  <c r="F44" i="32"/>
  <c r="E44" i="32"/>
  <c r="G44" i="32" s="1"/>
  <c r="C44" i="32"/>
  <c r="B44" i="32"/>
  <c r="A44" i="32"/>
  <c r="F43" i="32"/>
  <c r="E43" i="32"/>
  <c r="G43" i="32" s="1"/>
  <c r="C43" i="32"/>
  <c r="B43" i="32"/>
  <c r="A43" i="32"/>
  <c r="F42" i="32"/>
  <c r="E42" i="32"/>
  <c r="G42" i="32" s="1"/>
  <c r="C42" i="32"/>
  <c r="B42" i="32"/>
  <c r="A42" i="32"/>
  <c r="F41" i="32"/>
  <c r="E41" i="32"/>
  <c r="G41" i="32" s="1"/>
  <c r="C41" i="32"/>
  <c r="B41" i="32"/>
  <c r="A41" i="32"/>
  <c r="F40" i="32"/>
  <c r="E40" i="32"/>
  <c r="G40" i="32" s="1"/>
  <c r="C40" i="32"/>
  <c r="B40" i="32"/>
  <c r="A40" i="32"/>
  <c r="F39" i="32"/>
  <c r="E39" i="32"/>
  <c r="G39" i="32" s="1"/>
  <c r="C39" i="32"/>
  <c r="B39" i="32"/>
  <c r="A39" i="32"/>
  <c r="F38" i="32"/>
  <c r="E38" i="32"/>
  <c r="G38" i="32" s="1"/>
  <c r="C38" i="32"/>
  <c r="B38" i="32"/>
  <c r="A38" i="32"/>
  <c r="E24" i="5"/>
  <c r="F60" i="31"/>
  <c r="D60" i="31"/>
  <c r="G60" i="31" s="1"/>
  <c r="A60" i="31"/>
  <c r="F59" i="31"/>
  <c r="D59" i="31"/>
  <c r="G59" i="31" s="1"/>
  <c r="A59" i="31"/>
  <c r="E58" i="31"/>
  <c r="F58" i="31"/>
  <c r="D58" i="31"/>
  <c r="G58" i="31" s="1"/>
  <c r="A58" i="31"/>
  <c r="E57" i="31"/>
  <c r="F57" i="31"/>
  <c r="D57" i="31"/>
  <c r="G57" i="31" s="1"/>
  <c r="A57" i="31"/>
  <c r="E56" i="31"/>
  <c r="F56" i="31"/>
  <c r="D56" i="31"/>
  <c r="G56" i="31" s="1"/>
  <c r="A56" i="31"/>
  <c r="F49" i="31"/>
  <c r="E49" i="31"/>
  <c r="G49" i="31" s="1"/>
  <c r="C49" i="31"/>
  <c r="B49" i="31"/>
  <c r="A49" i="31"/>
  <c r="F48" i="31"/>
  <c r="E48" i="31"/>
  <c r="G48" i="31" s="1"/>
  <c r="C48" i="31"/>
  <c r="B48" i="31"/>
  <c r="A48" i="31"/>
  <c r="F47" i="31"/>
  <c r="E47" i="31"/>
  <c r="G47" i="31" s="1"/>
  <c r="C47" i="31"/>
  <c r="B47" i="31"/>
  <c r="A47" i="31"/>
  <c r="F46" i="31"/>
  <c r="E46" i="31"/>
  <c r="G46" i="31" s="1"/>
  <c r="C46" i="31"/>
  <c r="B46" i="31"/>
  <c r="A46" i="31"/>
  <c r="F45" i="31"/>
  <c r="E45" i="31"/>
  <c r="G45" i="31" s="1"/>
  <c r="C45" i="31"/>
  <c r="B45" i="31"/>
  <c r="A45" i="31"/>
  <c r="F44" i="31"/>
  <c r="E44" i="31"/>
  <c r="G44" i="31" s="1"/>
  <c r="C44" i="31"/>
  <c r="B44" i="31"/>
  <c r="A44" i="31"/>
  <c r="F43" i="31"/>
  <c r="E43" i="31"/>
  <c r="G43" i="31" s="1"/>
  <c r="C43" i="31"/>
  <c r="B43" i="31"/>
  <c r="A43" i="31"/>
  <c r="F42" i="31"/>
  <c r="E42" i="31"/>
  <c r="G42" i="31" s="1"/>
  <c r="C42" i="31"/>
  <c r="B42" i="31"/>
  <c r="A42" i="31"/>
  <c r="F41" i="31"/>
  <c r="E41" i="31"/>
  <c r="G41" i="31" s="1"/>
  <c r="C41" i="31"/>
  <c r="B41" i="31"/>
  <c r="A41" i="31"/>
  <c r="F40" i="31"/>
  <c r="E40" i="31"/>
  <c r="G40" i="31" s="1"/>
  <c r="C40" i="31"/>
  <c r="B40" i="31"/>
  <c r="A40" i="31"/>
  <c r="F39" i="31"/>
  <c r="E39" i="31"/>
  <c r="G39" i="31" s="1"/>
  <c r="C39" i="31"/>
  <c r="B39" i="31"/>
  <c r="A39" i="31"/>
  <c r="F38" i="31"/>
  <c r="E38" i="31"/>
  <c r="G38" i="31" s="1"/>
  <c r="C38" i="31"/>
  <c r="B38" i="31"/>
  <c r="A38" i="31"/>
  <c r="F37" i="31"/>
  <c r="E37" i="31"/>
  <c r="G37" i="31" s="1"/>
  <c r="C37" i="31"/>
  <c r="B37" i="31"/>
  <c r="A37" i="31"/>
  <c r="F36" i="31"/>
  <c r="E36" i="31"/>
  <c r="G36" i="31" s="1"/>
  <c r="C36" i="31"/>
  <c r="B36" i="31"/>
  <c r="A36" i="31"/>
  <c r="F35" i="31"/>
  <c r="E35" i="31"/>
  <c r="G35" i="31" s="1"/>
  <c r="C35" i="31"/>
  <c r="B35" i="31"/>
  <c r="A35" i="31"/>
  <c r="F34" i="31"/>
  <c r="E34" i="31"/>
  <c r="G34" i="31" s="1"/>
  <c r="C34" i="31"/>
  <c r="B34" i="31"/>
  <c r="A34" i="31"/>
  <c r="E23" i="5"/>
  <c r="F60" i="30"/>
  <c r="D60" i="30"/>
  <c r="G60" i="30" s="1"/>
  <c r="A60" i="30"/>
  <c r="F59" i="30"/>
  <c r="D59" i="30"/>
  <c r="G59" i="30" s="1"/>
  <c r="A59" i="30"/>
  <c r="E58" i="30"/>
  <c r="F58" i="30"/>
  <c r="D58" i="30"/>
  <c r="A58" i="30"/>
  <c r="E57" i="30"/>
  <c r="F57" i="30"/>
  <c r="D57" i="30"/>
  <c r="A57" i="30"/>
  <c r="E56" i="30"/>
  <c r="F56" i="30"/>
  <c r="D56" i="30"/>
  <c r="G56" i="30" s="1"/>
  <c r="A56" i="30"/>
  <c r="F49" i="30"/>
  <c r="E49" i="30"/>
  <c r="G49" i="30" s="1"/>
  <c r="C49" i="30"/>
  <c r="B49" i="30"/>
  <c r="A49" i="30"/>
  <c r="F48" i="30"/>
  <c r="E48" i="30"/>
  <c r="G48" i="30" s="1"/>
  <c r="C48" i="30"/>
  <c r="B48" i="30"/>
  <c r="A48" i="30"/>
  <c r="F47" i="30"/>
  <c r="E47" i="30"/>
  <c r="G47" i="30" s="1"/>
  <c r="C47" i="30"/>
  <c r="B47" i="30"/>
  <c r="A47" i="30"/>
  <c r="F46" i="30"/>
  <c r="E46" i="30"/>
  <c r="G46" i="30" s="1"/>
  <c r="C46" i="30"/>
  <c r="B46" i="30"/>
  <c r="A46" i="30"/>
  <c r="F45" i="30"/>
  <c r="E45" i="30"/>
  <c r="G45" i="30" s="1"/>
  <c r="C45" i="30"/>
  <c r="B45" i="30"/>
  <c r="A45" i="30"/>
  <c r="F44" i="30"/>
  <c r="E44" i="30"/>
  <c r="G44" i="30" s="1"/>
  <c r="C44" i="30"/>
  <c r="B44" i="30"/>
  <c r="A44" i="30"/>
  <c r="F43" i="30"/>
  <c r="E43" i="30"/>
  <c r="G43" i="30" s="1"/>
  <c r="C43" i="30"/>
  <c r="B43" i="30"/>
  <c r="A43" i="30"/>
  <c r="F42" i="30"/>
  <c r="E42" i="30"/>
  <c r="G42" i="30" s="1"/>
  <c r="C42" i="30"/>
  <c r="B42" i="30"/>
  <c r="A42" i="30"/>
  <c r="F41" i="30"/>
  <c r="E41" i="30"/>
  <c r="G41" i="30" s="1"/>
  <c r="C41" i="30"/>
  <c r="B41" i="30"/>
  <c r="A41" i="30"/>
  <c r="F40" i="30"/>
  <c r="E40" i="30"/>
  <c r="G40" i="30" s="1"/>
  <c r="C40" i="30"/>
  <c r="B40" i="30"/>
  <c r="A40" i="30"/>
  <c r="F39" i="30"/>
  <c r="E39" i="30"/>
  <c r="G39" i="30" s="1"/>
  <c r="C39" i="30"/>
  <c r="B39" i="30"/>
  <c r="A39" i="30"/>
  <c r="F38" i="30"/>
  <c r="E38" i="30"/>
  <c r="G38" i="30" s="1"/>
  <c r="C38" i="30"/>
  <c r="B38" i="30"/>
  <c r="A38" i="30"/>
  <c r="F37" i="30"/>
  <c r="E37" i="30"/>
  <c r="G37" i="30" s="1"/>
  <c r="C37" i="30"/>
  <c r="B37" i="30"/>
  <c r="A37" i="30"/>
  <c r="F36" i="30"/>
  <c r="E36" i="30"/>
  <c r="G36" i="30" s="1"/>
  <c r="C36" i="30"/>
  <c r="B36" i="30"/>
  <c r="A36" i="30"/>
  <c r="F35" i="30"/>
  <c r="E35" i="30"/>
  <c r="G35" i="30" s="1"/>
  <c r="C35" i="30"/>
  <c r="B35" i="30"/>
  <c r="A35" i="30"/>
  <c r="F34" i="30"/>
  <c r="E34" i="30"/>
  <c r="G34" i="30" s="1"/>
  <c r="C34" i="30"/>
  <c r="B34" i="30"/>
  <c r="A34" i="30"/>
  <c r="E22" i="5"/>
  <c r="F65" i="29"/>
  <c r="D65" i="29"/>
  <c r="G65" i="29" s="1"/>
  <c r="A65" i="29"/>
  <c r="E64" i="29"/>
  <c r="F64" i="29"/>
  <c r="D64" i="29"/>
  <c r="G64" i="29" s="1"/>
  <c r="A64" i="29"/>
  <c r="E63" i="29"/>
  <c r="F63" i="29"/>
  <c r="D63" i="29"/>
  <c r="A63" i="29"/>
  <c r="E62" i="29"/>
  <c r="F62" i="29"/>
  <c r="D62" i="29"/>
  <c r="G62" i="29" s="1"/>
  <c r="A62" i="29"/>
  <c r="E61" i="29"/>
  <c r="F61" i="29"/>
  <c r="D61" i="29"/>
  <c r="A61" i="29"/>
  <c r="F54" i="29"/>
  <c r="E54" i="29"/>
  <c r="G54" i="29" s="1"/>
  <c r="C54" i="29"/>
  <c r="B54" i="29"/>
  <c r="A54" i="29"/>
  <c r="F53" i="29"/>
  <c r="E53" i="29"/>
  <c r="G53" i="29" s="1"/>
  <c r="C53" i="29"/>
  <c r="B53" i="29"/>
  <c r="A53" i="29"/>
  <c r="F52" i="29"/>
  <c r="E52" i="29"/>
  <c r="G52" i="29" s="1"/>
  <c r="C52" i="29"/>
  <c r="B52" i="29"/>
  <c r="A52" i="29"/>
  <c r="F51" i="29"/>
  <c r="E51" i="29"/>
  <c r="G51" i="29" s="1"/>
  <c r="C51" i="29"/>
  <c r="B51" i="29"/>
  <c r="A51" i="29"/>
  <c r="F50" i="29"/>
  <c r="E50" i="29"/>
  <c r="G50" i="29" s="1"/>
  <c r="C50" i="29"/>
  <c r="B50" i="29"/>
  <c r="A50" i="29"/>
  <c r="F49" i="29"/>
  <c r="E49" i="29"/>
  <c r="G49" i="29" s="1"/>
  <c r="C49" i="29"/>
  <c r="B49" i="29"/>
  <c r="A49" i="29"/>
  <c r="F48" i="29"/>
  <c r="E48" i="29"/>
  <c r="G48" i="29" s="1"/>
  <c r="C48" i="29"/>
  <c r="B48" i="29"/>
  <c r="A48" i="29"/>
  <c r="F47" i="29"/>
  <c r="E47" i="29"/>
  <c r="G47" i="29" s="1"/>
  <c r="C47" i="29"/>
  <c r="B47" i="29"/>
  <c r="A47" i="29"/>
  <c r="F46" i="29"/>
  <c r="E46" i="29"/>
  <c r="G46" i="29" s="1"/>
  <c r="C46" i="29"/>
  <c r="B46" i="29"/>
  <c r="A46" i="29"/>
  <c r="F45" i="29"/>
  <c r="E45" i="29"/>
  <c r="G45" i="29" s="1"/>
  <c r="C45" i="29"/>
  <c r="B45" i="29"/>
  <c r="A45" i="29"/>
  <c r="F44" i="29"/>
  <c r="E44" i="29"/>
  <c r="G44" i="29" s="1"/>
  <c r="C44" i="29"/>
  <c r="B44" i="29"/>
  <c r="A44" i="29"/>
  <c r="F43" i="29"/>
  <c r="E43" i="29"/>
  <c r="G43" i="29" s="1"/>
  <c r="C43" i="29"/>
  <c r="B43" i="29"/>
  <c r="A43" i="29"/>
  <c r="F42" i="29"/>
  <c r="E42" i="29"/>
  <c r="G42" i="29" s="1"/>
  <c r="C42" i="29"/>
  <c r="B42" i="29"/>
  <c r="A42" i="29"/>
  <c r="F41" i="29"/>
  <c r="E41" i="29"/>
  <c r="G41" i="29" s="1"/>
  <c r="C41" i="29"/>
  <c r="B41" i="29"/>
  <c r="A41" i="29"/>
  <c r="F40" i="29"/>
  <c r="E40" i="29"/>
  <c r="G40" i="29" s="1"/>
  <c r="C40" i="29"/>
  <c r="B40" i="29"/>
  <c r="A40" i="29"/>
  <c r="F39" i="29"/>
  <c r="E39" i="29"/>
  <c r="G39" i="29" s="1"/>
  <c r="C39" i="29"/>
  <c r="B39" i="29"/>
  <c r="A39" i="29"/>
  <c r="F38" i="29"/>
  <c r="E38" i="29"/>
  <c r="G38" i="29" s="1"/>
  <c r="C38" i="29"/>
  <c r="B38" i="29"/>
  <c r="A38" i="29"/>
  <c r="F37" i="29"/>
  <c r="E37" i="29"/>
  <c r="G37" i="29" s="1"/>
  <c r="C37" i="29"/>
  <c r="B37" i="29"/>
  <c r="A37" i="29"/>
  <c r="F36" i="29"/>
  <c r="E36" i="29"/>
  <c r="G36" i="29" s="1"/>
  <c r="C36" i="29"/>
  <c r="B36" i="29"/>
  <c r="A36" i="29"/>
  <c r="E21" i="5"/>
  <c r="F60" i="28"/>
  <c r="D60" i="28"/>
  <c r="G60" i="28" s="1"/>
  <c r="A60" i="28"/>
  <c r="F59" i="28"/>
  <c r="D59" i="28"/>
  <c r="G59" i="28" s="1"/>
  <c r="A59" i="28"/>
  <c r="E58" i="28"/>
  <c r="F58" i="28"/>
  <c r="D58" i="28"/>
  <c r="G58" i="28" s="1"/>
  <c r="A58" i="28"/>
  <c r="E57" i="28"/>
  <c r="F57" i="28"/>
  <c r="D57" i="28"/>
  <c r="G57" i="28" s="1"/>
  <c r="A57" i="28"/>
  <c r="E56" i="28"/>
  <c r="F56" i="28"/>
  <c r="D56" i="28"/>
  <c r="G56" i="28" s="1"/>
  <c r="A56" i="28"/>
  <c r="F49" i="28"/>
  <c r="E49" i="28"/>
  <c r="G49" i="28" s="1"/>
  <c r="C49" i="28"/>
  <c r="B49" i="28"/>
  <c r="A49" i="28"/>
  <c r="F48" i="28"/>
  <c r="E48" i="28"/>
  <c r="G48" i="28" s="1"/>
  <c r="C48" i="28"/>
  <c r="B48" i="28"/>
  <c r="A48" i="28"/>
  <c r="F47" i="28"/>
  <c r="E47" i="28"/>
  <c r="G47" i="28" s="1"/>
  <c r="C47" i="28"/>
  <c r="B47" i="28"/>
  <c r="A47" i="28"/>
  <c r="F46" i="28"/>
  <c r="E46" i="28"/>
  <c r="G46" i="28" s="1"/>
  <c r="C46" i="28"/>
  <c r="B46" i="28"/>
  <c r="A46" i="28"/>
  <c r="F45" i="28"/>
  <c r="E45" i="28"/>
  <c r="G45" i="28" s="1"/>
  <c r="C45" i="28"/>
  <c r="B45" i="28"/>
  <c r="A45" i="28"/>
  <c r="F44" i="28"/>
  <c r="E44" i="28"/>
  <c r="G44" i="28" s="1"/>
  <c r="C44" i="28"/>
  <c r="B44" i="28"/>
  <c r="A44" i="28"/>
  <c r="F43" i="28"/>
  <c r="E43" i="28"/>
  <c r="G43" i="28" s="1"/>
  <c r="C43" i="28"/>
  <c r="B43" i="28"/>
  <c r="A43" i="28"/>
  <c r="F42" i="28"/>
  <c r="E42" i="28"/>
  <c r="G42" i="28" s="1"/>
  <c r="C42" i="28"/>
  <c r="B42" i="28"/>
  <c r="A42" i="28"/>
  <c r="F41" i="28"/>
  <c r="E41" i="28"/>
  <c r="G41" i="28" s="1"/>
  <c r="C41" i="28"/>
  <c r="B41" i="28"/>
  <c r="A41" i="28"/>
  <c r="F40" i="28"/>
  <c r="E40" i="28"/>
  <c r="G40" i="28" s="1"/>
  <c r="C40" i="28"/>
  <c r="B40" i="28"/>
  <c r="A40" i="28"/>
  <c r="F39" i="28"/>
  <c r="E39" i="28"/>
  <c r="G39" i="28" s="1"/>
  <c r="C39" i="28"/>
  <c r="B39" i="28"/>
  <c r="A39" i="28"/>
  <c r="F38" i="28"/>
  <c r="E38" i="28"/>
  <c r="G38" i="28" s="1"/>
  <c r="C38" i="28"/>
  <c r="B38" i="28"/>
  <c r="A38" i="28"/>
  <c r="F37" i="28"/>
  <c r="E37" i="28"/>
  <c r="G37" i="28" s="1"/>
  <c r="C37" i="28"/>
  <c r="B37" i="28"/>
  <c r="A37" i="28"/>
  <c r="F36" i="28"/>
  <c r="E36" i="28"/>
  <c r="G36" i="28" s="1"/>
  <c r="C36" i="28"/>
  <c r="B36" i="28"/>
  <c r="A36" i="28"/>
  <c r="F35" i="28"/>
  <c r="E35" i="28"/>
  <c r="G35" i="28" s="1"/>
  <c r="C35" i="28"/>
  <c r="B35" i="28"/>
  <c r="A35" i="28"/>
  <c r="F34" i="28"/>
  <c r="E34" i="28"/>
  <c r="G34" i="28" s="1"/>
  <c r="C34" i="28"/>
  <c r="B34" i="28"/>
  <c r="A34" i="28"/>
  <c r="E20" i="5"/>
  <c r="F55" i="27"/>
  <c r="D55" i="27"/>
  <c r="G55" i="27" s="1"/>
  <c r="A55" i="27"/>
  <c r="E54" i="27"/>
  <c r="F54" i="27"/>
  <c r="D54" i="27"/>
  <c r="G54" i="27" s="1"/>
  <c r="A54" i="27"/>
  <c r="E53" i="27"/>
  <c r="F53" i="27"/>
  <c r="D53" i="27"/>
  <c r="G53" i="27" s="1"/>
  <c r="A53" i="27"/>
  <c r="E52" i="27"/>
  <c r="F52" i="27"/>
  <c r="D52" i="27"/>
  <c r="A52" i="27"/>
  <c r="F45" i="27"/>
  <c r="E45" i="27"/>
  <c r="G45" i="27" s="1"/>
  <c r="C45" i="27"/>
  <c r="B45" i="27"/>
  <c r="A45" i="27"/>
  <c r="F44" i="27"/>
  <c r="E44" i="27"/>
  <c r="G44" i="27" s="1"/>
  <c r="C44" i="27"/>
  <c r="B44" i="27"/>
  <c r="A44" i="27"/>
  <c r="F43" i="27"/>
  <c r="E43" i="27"/>
  <c r="G43" i="27" s="1"/>
  <c r="C43" i="27"/>
  <c r="B43" i="27"/>
  <c r="A43" i="27"/>
  <c r="F42" i="27"/>
  <c r="E42" i="27"/>
  <c r="G42" i="27" s="1"/>
  <c r="C42" i="27"/>
  <c r="B42" i="27"/>
  <c r="A42" i="27"/>
  <c r="F41" i="27"/>
  <c r="E41" i="27"/>
  <c r="G41" i="27" s="1"/>
  <c r="C41" i="27"/>
  <c r="B41" i="27"/>
  <c r="A41" i="27"/>
  <c r="F40" i="27"/>
  <c r="E40" i="27"/>
  <c r="G40" i="27" s="1"/>
  <c r="C40" i="27"/>
  <c r="B40" i="27"/>
  <c r="A40" i="27"/>
  <c r="F39" i="27"/>
  <c r="E39" i="27"/>
  <c r="G39" i="27" s="1"/>
  <c r="C39" i="27"/>
  <c r="B39" i="27"/>
  <c r="A39" i="27"/>
  <c r="F38" i="27"/>
  <c r="E38" i="27"/>
  <c r="G38" i="27" s="1"/>
  <c r="C38" i="27"/>
  <c r="B38" i="27"/>
  <c r="A38" i="27"/>
  <c r="F37" i="27"/>
  <c r="E37" i="27"/>
  <c r="G37" i="27" s="1"/>
  <c r="C37" i="27"/>
  <c r="B37" i="27"/>
  <c r="A37" i="27"/>
  <c r="F36" i="27"/>
  <c r="E36" i="27"/>
  <c r="G36" i="27" s="1"/>
  <c r="C36" i="27"/>
  <c r="B36" i="27"/>
  <c r="A36" i="27"/>
  <c r="F35" i="27"/>
  <c r="E35" i="27"/>
  <c r="G35" i="27" s="1"/>
  <c r="C35" i="27"/>
  <c r="B35" i="27"/>
  <c r="A35" i="27"/>
  <c r="F34" i="27"/>
  <c r="E34" i="27"/>
  <c r="G34" i="27" s="1"/>
  <c r="C34" i="27"/>
  <c r="B34" i="27"/>
  <c r="A34" i="27"/>
  <c r="F33" i="27"/>
  <c r="E33" i="27"/>
  <c r="G33" i="27" s="1"/>
  <c r="C33" i="27"/>
  <c r="B33" i="27"/>
  <c r="A33" i="27"/>
  <c r="F32" i="27"/>
  <c r="E32" i="27"/>
  <c r="G32" i="27" s="1"/>
  <c r="C32" i="27"/>
  <c r="B32" i="27"/>
  <c r="A32" i="27"/>
  <c r="E19" i="5"/>
  <c r="F60" i="26"/>
  <c r="D60" i="26"/>
  <c r="G60" i="26" s="1"/>
  <c r="A60" i="26"/>
  <c r="F59" i="26"/>
  <c r="D59" i="26"/>
  <c r="G59" i="26" s="1"/>
  <c r="A59" i="26"/>
  <c r="E58" i="26"/>
  <c r="F58" i="26"/>
  <c r="D58" i="26"/>
  <c r="A58" i="26"/>
  <c r="E57" i="26"/>
  <c r="F57" i="26"/>
  <c r="D57" i="26"/>
  <c r="A57" i="26"/>
  <c r="E56" i="26"/>
  <c r="F56" i="26"/>
  <c r="D56" i="26"/>
  <c r="G56" i="26" s="1"/>
  <c r="A56" i="26"/>
  <c r="F49" i="26"/>
  <c r="E49" i="26"/>
  <c r="G49" i="26" s="1"/>
  <c r="C49" i="26"/>
  <c r="B49" i="26"/>
  <c r="A49" i="26"/>
  <c r="F48" i="26"/>
  <c r="E48" i="26"/>
  <c r="G48" i="26" s="1"/>
  <c r="C48" i="26"/>
  <c r="B48" i="26"/>
  <c r="A48" i="26"/>
  <c r="F47" i="26"/>
  <c r="E47" i="26"/>
  <c r="G47" i="26" s="1"/>
  <c r="C47" i="26"/>
  <c r="B47" i="26"/>
  <c r="A47" i="26"/>
  <c r="F46" i="26"/>
  <c r="E46" i="26"/>
  <c r="G46" i="26" s="1"/>
  <c r="C46" i="26"/>
  <c r="B46" i="26"/>
  <c r="A46" i="26"/>
  <c r="F45" i="26"/>
  <c r="E45" i="26"/>
  <c r="G45" i="26" s="1"/>
  <c r="C45" i="26"/>
  <c r="B45" i="26"/>
  <c r="A45" i="26"/>
  <c r="F44" i="26"/>
  <c r="E44" i="26"/>
  <c r="G44" i="26" s="1"/>
  <c r="C44" i="26"/>
  <c r="B44" i="26"/>
  <c r="A44" i="26"/>
  <c r="F43" i="26"/>
  <c r="E43" i="26"/>
  <c r="G43" i="26" s="1"/>
  <c r="C43" i="26"/>
  <c r="B43" i="26"/>
  <c r="A43" i="26"/>
  <c r="F42" i="26"/>
  <c r="E42" i="26"/>
  <c r="G42" i="26" s="1"/>
  <c r="C42" i="26"/>
  <c r="B42" i="26"/>
  <c r="A42" i="26"/>
  <c r="F41" i="26"/>
  <c r="E41" i="26"/>
  <c r="G41" i="26" s="1"/>
  <c r="C41" i="26"/>
  <c r="B41" i="26"/>
  <c r="A41" i="26"/>
  <c r="F40" i="26"/>
  <c r="E40" i="26"/>
  <c r="G40" i="26" s="1"/>
  <c r="C40" i="26"/>
  <c r="B40" i="26"/>
  <c r="A40" i="26"/>
  <c r="F39" i="26"/>
  <c r="E39" i="26"/>
  <c r="G39" i="26" s="1"/>
  <c r="C39" i="26"/>
  <c r="B39" i="26"/>
  <c r="A39" i="26"/>
  <c r="F38" i="26"/>
  <c r="E38" i="26"/>
  <c r="G38" i="26" s="1"/>
  <c r="C38" i="26"/>
  <c r="B38" i="26"/>
  <c r="A38" i="26"/>
  <c r="F37" i="26"/>
  <c r="E37" i="26"/>
  <c r="G37" i="26" s="1"/>
  <c r="C37" i="26"/>
  <c r="B37" i="26"/>
  <c r="A37" i="26"/>
  <c r="F36" i="26"/>
  <c r="E36" i="26"/>
  <c r="G36" i="26" s="1"/>
  <c r="C36" i="26"/>
  <c r="B36" i="26"/>
  <c r="A36" i="26"/>
  <c r="F35" i="26"/>
  <c r="E35" i="26"/>
  <c r="G35" i="26" s="1"/>
  <c r="C35" i="26"/>
  <c r="B35" i="26"/>
  <c r="A35" i="26"/>
  <c r="F34" i="26"/>
  <c r="E34" i="26"/>
  <c r="G34" i="26" s="1"/>
  <c r="C34" i="26"/>
  <c r="B34" i="26"/>
  <c r="A34" i="26"/>
  <c r="E18" i="5"/>
  <c r="F65" i="25"/>
  <c r="D65" i="25"/>
  <c r="G65" i="25" s="1"/>
  <c r="A65" i="25"/>
  <c r="E64" i="25"/>
  <c r="F64" i="25"/>
  <c r="D64" i="25"/>
  <c r="G64" i="25" s="1"/>
  <c r="A64" i="25"/>
  <c r="E63" i="25"/>
  <c r="F63" i="25"/>
  <c r="D63" i="25"/>
  <c r="A63" i="25"/>
  <c r="E62" i="25"/>
  <c r="F62" i="25"/>
  <c r="D62" i="25"/>
  <c r="G62" i="25" s="1"/>
  <c r="A62" i="25"/>
  <c r="E61" i="25"/>
  <c r="F61" i="25"/>
  <c r="D61" i="25"/>
  <c r="G61" i="25" s="1"/>
  <c r="A61" i="25"/>
  <c r="F54" i="25"/>
  <c r="E54" i="25"/>
  <c r="G54" i="25" s="1"/>
  <c r="C54" i="25"/>
  <c r="B54" i="25"/>
  <c r="A54" i="25"/>
  <c r="F53" i="25"/>
  <c r="E53" i="25"/>
  <c r="G53" i="25" s="1"/>
  <c r="C53" i="25"/>
  <c r="B53" i="25"/>
  <c r="A53" i="25"/>
  <c r="F52" i="25"/>
  <c r="E52" i="25"/>
  <c r="G52" i="25" s="1"/>
  <c r="C52" i="25"/>
  <c r="B52" i="25"/>
  <c r="A52" i="25"/>
  <c r="F51" i="25"/>
  <c r="E51" i="25"/>
  <c r="G51" i="25" s="1"/>
  <c r="C51" i="25"/>
  <c r="B51" i="25"/>
  <c r="A51" i="25"/>
  <c r="F50" i="25"/>
  <c r="E50" i="25"/>
  <c r="G50" i="25" s="1"/>
  <c r="C50" i="25"/>
  <c r="B50" i="25"/>
  <c r="A50" i="25"/>
  <c r="F49" i="25"/>
  <c r="E49" i="25"/>
  <c r="G49" i="25" s="1"/>
  <c r="C49" i="25"/>
  <c r="B49" i="25"/>
  <c r="A49" i="25"/>
  <c r="F48" i="25"/>
  <c r="E48" i="25"/>
  <c r="G48" i="25" s="1"/>
  <c r="C48" i="25"/>
  <c r="B48" i="25"/>
  <c r="A48" i="25"/>
  <c r="F47" i="25"/>
  <c r="E47" i="25"/>
  <c r="G47" i="25" s="1"/>
  <c r="C47" i="25"/>
  <c r="B47" i="25"/>
  <c r="A47" i="25"/>
  <c r="F46" i="25"/>
  <c r="E46" i="25"/>
  <c r="G46" i="25" s="1"/>
  <c r="C46" i="25"/>
  <c r="B46" i="25"/>
  <c r="A46" i="25"/>
  <c r="F45" i="25"/>
  <c r="E45" i="25"/>
  <c r="G45" i="25" s="1"/>
  <c r="C45" i="25"/>
  <c r="B45" i="25"/>
  <c r="A45" i="25"/>
  <c r="F44" i="25"/>
  <c r="E44" i="25"/>
  <c r="G44" i="25" s="1"/>
  <c r="C44" i="25"/>
  <c r="B44" i="25"/>
  <c r="A44" i="25"/>
  <c r="F43" i="25"/>
  <c r="E43" i="25"/>
  <c r="G43" i="25" s="1"/>
  <c r="C43" i="25"/>
  <c r="B43" i="25"/>
  <c r="A43" i="25"/>
  <c r="F42" i="25"/>
  <c r="E42" i="25"/>
  <c r="G42" i="25" s="1"/>
  <c r="C42" i="25"/>
  <c r="B42" i="25"/>
  <c r="A42" i="25"/>
  <c r="F41" i="25"/>
  <c r="E41" i="25"/>
  <c r="G41" i="25" s="1"/>
  <c r="C41" i="25"/>
  <c r="B41" i="25"/>
  <c r="A41" i="25"/>
  <c r="F40" i="25"/>
  <c r="E40" i="25"/>
  <c r="G40" i="25" s="1"/>
  <c r="C40" i="25"/>
  <c r="B40" i="25"/>
  <c r="A40" i="25"/>
  <c r="F39" i="25"/>
  <c r="E39" i="25"/>
  <c r="G39" i="25" s="1"/>
  <c r="C39" i="25"/>
  <c r="B39" i="25"/>
  <c r="A39" i="25"/>
  <c r="F38" i="25"/>
  <c r="E38" i="25"/>
  <c r="G38" i="25" s="1"/>
  <c r="C38" i="25"/>
  <c r="B38" i="25"/>
  <c r="A38" i="25"/>
  <c r="F37" i="25"/>
  <c r="E37" i="25"/>
  <c r="G37" i="25" s="1"/>
  <c r="C37" i="25"/>
  <c r="B37" i="25"/>
  <c r="A37" i="25"/>
  <c r="F36" i="25"/>
  <c r="E36" i="25"/>
  <c r="G36" i="25" s="1"/>
  <c r="C36" i="25"/>
  <c r="B36" i="25"/>
  <c r="A36" i="25"/>
  <c r="E17" i="5"/>
  <c r="F64" i="24"/>
  <c r="D64" i="24"/>
  <c r="G64" i="24" s="1"/>
  <c r="A64" i="24"/>
  <c r="F63" i="24"/>
  <c r="D63" i="24"/>
  <c r="G63" i="24" s="1"/>
  <c r="A63" i="24"/>
  <c r="E62" i="24"/>
  <c r="F62" i="24"/>
  <c r="D62" i="24"/>
  <c r="A62" i="24"/>
  <c r="E61" i="24"/>
  <c r="F61" i="24"/>
  <c r="D61" i="24"/>
  <c r="A61" i="24"/>
  <c r="E60" i="24"/>
  <c r="F60" i="24"/>
  <c r="D60" i="24"/>
  <c r="G60" i="24" s="1"/>
  <c r="A60" i="24"/>
  <c r="E59" i="24"/>
  <c r="F59" i="24"/>
  <c r="D59" i="24"/>
  <c r="G59" i="24" s="1"/>
  <c r="A59" i="24"/>
  <c r="E58" i="24"/>
  <c r="F58" i="24"/>
  <c r="D58" i="24"/>
  <c r="A58" i="24"/>
  <c r="F51" i="24"/>
  <c r="E51" i="24"/>
  <c r="G51" i="24" s="1"/>
  <c r="C51" i="24"/>
  <c r="B51" i="24"/>
  <c r="A51" i="24"/>
  <c r="F50" i="24"/>
  <c r="E50" i="24"/>
  <c r="G50" i="24" s="1"/>
  <c r="C50" i="24"/>
  <c r="B50" i="24"/>
  <c r="A50" i="24"/>
  <c r="F49" i="24"/>
  <c r="E49" i="24"/>
  <c r="G49" i="24" s="1"/>
  <c r="C49" i="24"/>
  <c r="B49" i="24"/>
  <c r="A49" i="24"/>
  <c r="F48" i="24"/>
  <c r="E48" i="24"/>
  <c r="G48" i="24" s="1"/>
  <c r="C48" i="24"/>
  <c r="B48" i="24"/>
  <c r="A48" i="24"/>
  <c r="F47" i="24"/>
  <c r="E47" i="24"/>
  <c r="G47" i="24" s="1"/>
  <c r="C47" i="24"/>
  <c r="B47" i="24"/>
  <c r="A47" i="24"/>
  <c r="F46" i="24"/>
  <c r="E46" i="24"/>
  <c r="G46" i="24" s="1"/>
  <c r="C46" i="24"/>
  <c r="B46" i="24"/>
  <c r="A46" i="24"/>
  <c r="F45" i="24"/>
  <c r="E45" i="24"/>
  <c r="G45" i="24" s="1"/>
  <c r="C45" i="24"/>
  <c r="B45" i="24"/>
  <c r="A45" i="24"/>
  <c r="F44" i="24"/>
  <c r="E44" i="24"/>
  <c r="G44" i="24" s="1"/>
  <c r="C44" i="24"/>
  <c r="B44" i="24"/>
  <c r="A44" i="24"/>
  <c r="F43" i="24"/>
  <c r="E43" i="24"/>
  <c r="G43" i="24" s="1"/>
  <c r="C43" i="24"/>
  <c r="B43" i="24"/>
  <c r="A43" i="24"/>
  <c r="F42" i="24"/>
  <c r="E42" i="24"/>
  <c r="G42" i="24" s="1"/>
  <c r="C42" i="24"/>
  <c r="B42" i="24"/>
  <c r="A42" i="24"/>
  <c r="F41" i="24"/>
  <c r="E41" i="24"/>
  <c r="G41" i="24" s="1"/>
  <c r="C41" i="24"/>
  <c r="B41" i="24"/>
  <c r="A41" i="24"/>
  <c r="F40" i="24"/>
  <c r="E40" i="24"/>
  <c r="G40" i="24" s="1"/>
  <c r="C40" i="24"/>
  <c r="B40" i="24"/>
  <c r="A40" i="24"/>
  <c r="F39" i="24"/>
  <c r="E39" i="24"/>
  <c r="G39" i="24" s="1"/>
  <c r="C39" i="24"/>
  <c r="B39" i="24"/>
  <c r="A39" i="24"/>
  <c r="F38" i="24"/>
  <c r="E38" i="24"/>
  <c r="G38" i="24" s="1"/>
  <c r="C38" i="24"/>
  <c r="B38" i="24"/>
  <c r="A38" i="24"/>
  <c r="F37" i="24"/>
  <c r="E37" i="24"/>
  <c r="G37" i="24" s="1"/>
  <c r="C37" i="24"/>
  <c r="B37" i="24"/>
  <c r="A37" i="24"/>
  <c r="F36" i="24"/>
  <c r="E36" i="24"/>
  <c r="G36" i="24" s="1"/>
  <c r="C36" i="24"/>
  <c r="B36" i="24"/>
  <c r="A36" i="24"/>
  <c r="E16" i="5"/>
  <c r="F64" i="23"/>
  <c r="D64" i="23"/>
  <c r="G64" i="23" s="1"/>
  <c r="A64" i="23"/>
  <c r="E63" i="23"/>
  <c r="F63" i="23"/>
  <c r="D63" i="23"/>
  <c r="A63" i="23"/>
  <c r="E62" i="23"/>
  <c r="F62" i="23"/>
  <c r="D62" i="23"/>
  <c r="G62" i="23" s="1"/>
  <c r="A62" i="23"/>
  <c r="E61" i="23"/>
  <c r="F61" i="23"/>
  <c r="D61" i="23"/>
  <c r="G61" i="23" s="1"/>
  <c r="A61" i="23"/>
  <c r="E60" i="23"/>
  <c r="F60" i="23"/>
  <c r="D60" i="23"/>
  <c r="G60" i="23" s="1"/>
  <c r="A60" i="23"/>
  <c r="F53" i="23"/>
  <c r="E53" i="23"/>
  <c r="G53" i="23" s="1"/>
  <c r="C53" i="23"/>
  <c r="B53" i="23"/>
  <c r="A53" i="23"/>
  <c r="F52" i="23"/>
  <c r="E52" i="23"/>
  <c r="G52" i="23" s="1"/>
  <c r="C52" i="23"/>
  <c r="B52" i="23"/>
  <c r="A52" i="23"/>
  <c r="F51" i="23"/>
  <c r="E51" i="23"/>
  <c r="G51" i="23" s="1"/>
  <c r="C51" i="23"/>
  <c r="B51" i="23"/>
  <c r="A51" i="23"/>
  <c r="F50" i="23"/>
  <c r="E50" i="23"/>
  <c r="G50" i="23" s="1"/>
  <c r="C50" i="23"/>
  <c r="B50" i="23"/>
  <c r="A50" i="23"/>
  <c r="F49" i="23"/>
  <c r="E49" i="23"/>
  <c r="G49" i="23" s="1"/>
  <c r="C49" i="23"/>
  <c r="B49" i="23"/>
  <c r="A49" i="23"/>
  <c r="F48" i="23"/>
  <c r="E48" i="23"/>
  <c r="G48" i="23" s="1"/>
  <c r="C48" i="23"/>
  <c r="B48" i="23"/>
  <c r="A48" i="23"/>
  <c r="F47" i="23"/>
  <c r="E47" i="23"/>
  <c r="G47" i="23" s="1"/>
  <c r="C47" i="23"/>
  <c r="B47" i="23"/>
  <c r="A47" i="23"/>
  <c r="F46" i="23"/>
  <c r="E46" i="23"/>
  <c r="G46" i="23" s="1"/>
  <c r="C46" i="23"/>
  <c r="B46" i="23"/>
  <c r="A46" i="23"/>
  <c r="F45" i="23"/>
  <c r="E45" i="23"/>
  <c r="G45" i="23" s="1"/>
  <c r="C45" i="23"/>
  <c r="B45" i="23"/>
  <c r="A45" i="23"/>
  <c r="F44" i="23"/>
  <c r="E44" i="23"/>
  <c r="G44" i="23" s="1"/>
  <c r="C44" i="23"/>
  <c r="B44" i="23"/>
  <c r="A44" i="23"/>
  <c r="F43" i="23"/>
  <c r="E43" i="23"/>
  <c r="G43" i="23" s="1"/>
  <c r="C43" i="23"/>
  <c r="B43" i="23"/>
  <c r="A43" i="23"/>
  <c r="F42" i="23"/>
  <c r="E42" i="23"/>
  <c r="G42" i="23" s="1"/>
  <c r="C42" i="23"/>
  <c r="B42" i="23"/>
  <c r="A42" i="23"/>
  <c r="F41" i="23"/>
  <c r="E41" i="23"/>
  <c r="G41" i="23" s="1"/>
  <c r="C41" i="23"/>
  <c r="B41" i="23"/>
  <c r="A41" i="23"/>
  <c r="F40" i="23"/>
  <c r="E40" i="23"/>
  <c r="G40" i="23" s="1"/>
  <c r="C40" i="23"/>
  <c r="B40" i="23"/>
  <c r="A40" i="23"/>
  <c r="F39" i="23"/>
  <c r="E39" i="23"/>
  <c r="G39" i="23" s="1"/>
  <c r="C39" i="23"/>
  <c r="B39" i="23"/>
  <c r="A39" i="23"/>
  <c r="F38" i="23"/>
  <c r="E38" i="23"/>
  <c r="G38" i="23" s="1"/>
  <c r="C38" i="23"/>
  <c r="B38" i="23"/>
  <c r="A38" i="23"/>
  <c r="F37" i="23"/>
  <c r="E37" i="23"/>
  <c r="G37" i="23" s="1"/>
  <c r="C37" i="23"/>
  <c r="B37" i="23"/>
  <c r="A37" i="23"/>
  <c r="F36" i="23"/>
  <c r="E36" i="23"/>
  <c r="G36" i="23" s="1"/>
  <c r="C36" i="23"/>
  <c r="B36" i="23"/>
  <c r="A36" i="23"/>
  <c r="F35" i="23"/>
  <c r="E35" i="23"/>
  <c r="G35" i="23" s="1"/>
  <c r="C35" i="23"/>
  <c r="B35" i="23"/>
  <c r="A35" i="23"/>
  <c r="E15" i="5"/>
  <c r="F64" i="22"/>
  <c r="D64" i="22"/>
  <c r="G64" i="22" s="1"/>
  <c r="A64" i="22"/>
  <c r="F63" i="22"/>
  <c r="D63" i="22"/>
  <c r="G63" i="22" s="1"/>
  <c r="A63" i="22"/>
  <c r="E62" i="22"/>
  <c r="F62" i="22"/>
  <c r="D62" i="22"/>
  <c r="G62" i="22" s="1"/>
  <c r="A62" i="22"/>
  <c r="E61" i="22"/>
  <c r="F61" i="22"/>
  <c r="D61" i="22"/>
  <c r="G61" i="22" s="1"/>
  <c r="A61" i="22"/>
  <c r="E60" i="22"/>
  <c r="F60" i="22"/>
  <c r="D60" i="22"/>
  <c r="G60" i="22" s="1"/>
  <c r="A60" i="22"/>
  <c r="E59" i="22"/>
  <c r="F59" i="22"/>
  <c r="D59" i="22"/>
  <c r="A59" i="22"/>
  <c r="E58" i="22"/>
  <c r="F58" i="22"/>
  <c r="D58" i="22"/>
  <c r="G58" i="22" s="1"/>
  <c r="A58" i="22"/>
  <c r="F51" i="22"/>
  <c r="E51" i="22"/>
  <c r="G51" i="22" s="1"/>
  <c r="C51" i="22"/>
  <c r="B51" i="22"/>
  <c r="A51" i="22"/>
  <c r="F50" i="22"/>
  <c r="E50" i="22"/>
  <c r="G50" i="22" s="1"/>
  <c r="C50" i="22"/>
  <c r="B50" i="22"/>
  <c r="A50" i="22"/>
  <c r="F49" i="22"/>
  <c r="E49" i="22"/>
  <c r="G49" i="22" s="1"/>
  <c r="C49" i="22"/>
  <c r="B49" i="22"/>
  <c r="A49" i="22"/>
  <c r="F48" i="22"/>
  <c r="E48" i="22"/>
  <c r="G48" i="22" s="1"/>
  <c r="C48" i="22"/>
  <c r="B48" i="22"/>
  <c r="A48" i="22"/>
  <c r="F47" i="22"/>
  <c r="E47" i="22"/>
  <c r="G47" i="22" s="1"/>
  <c r="C47" i="22"/>
  <c r="B47" i="22"/>
  <c r="A47" i="22"/>
  <c r="F46" i="22"/>
  <c r="E46" i="22"/>
  <c r="G46" i="22" s="1"/>
  <c r="C46" i="22"/>
  <c r="B46" i="22"/>
  <c r="A46" i="22"/>
  <c r="F45" i="22"/>
  <c r="E45" i="22"/>
  <c r="G45" i="22" s="1"/>
  <c r="C45" i="22"/>
  <c r="B45" i="22"/>
  <c r="A45" i="22"/>
  <c r="F44" i="22"/>
  <c r="E44" i="22"/>
  <c r="G44" i="22" s="1"/>
  <c r="C44" i="22"/>
  <c r="B44" i="22"/>
  <c r="A44" i="22"/>
  <c r="F43" i="22"/>
  <c r="E43" i="22"/>
  <c r="G43" i="22" s="1"/>
  <c r="C43" i="22"/>
  <c r="B43" i="22"/>
  <c r="A43" i="22"/>
  <c r="F42" i="22"/>
  <c r="E42" i="22"/>
  <c r="G42" i="22" s="1"/>
  <c r="C42" i="22"/>
  <c r="B42" i="22"/>
  <c r="A42" i="22"/>
  <c r="F41" i="22"/>
  <c r="E41" i="22"/>
  <c r="G41" i="22" s="1"/>
  <c r="C41" i="22"/>
  <c r="B41" i="22"/>
  <c r="A41" i="22"/>
  <c r="F40" i="22"/>
  <c r="E40" i="22"/>
  <c r="G40" i="22" s="1"/>
  <c r="C40" i="22"/>
  <c r="B40" i="22"/>
  <c r="A40" i="22"/>
  <c r="F39" i="22"/>
  <c r="E39" i="22"/>
  <c r="G39" i="22" s="1"/>
  <c r="C39" i="22"/>
  <c r="B39" i="22"/>
  <c r="A39" i="22"/>
  <c r="F38" i="22"/>
  <c r="E38" i="22"/>
  <c r="G38" i="22" s="1"/>
  <c r="C38" i="22"/>
  <c r="B38" i="22"/>
  <c r="A38" i="22"/>
  <c r="F37" i="22"/>
  <c r="E37" i="22"/>
  <c r="G37" i="22" s="1"/>
  <c r="C37" i="22"/>
  <c r="B37" i="22"/>
  <c r="A37" i="22"/>
  <c r="F36" i="22"/>
  <c r="E36" i="22"/>
  <c r="G36" i="22" s="1"/>
  <c r="C36" i="22"/>
  <c r="B36" i="22"/>
  <c r="A36" i="22"/>
  <c r="E14" i="5"/>
  <c r="F70" i="21"/>
  <c r="D70" i="21"/>
  <c r="G70" i="21" s="1"/>
  <c r="A70" i="21"/>
  <c r="E69" i="21"/>
  <c r="F69" i="21"/>
  <c r="D69" i="21"/>
  <c r="A69" i="21"/>
  <c r="E68" i="21"/>
  <c r="F68" i="21"/>
  <c r="D68" i="21"/>
  <c r="A68" i="21"/>
  <c r="E67" i="21"/>
  <c r="F67" i="21"/>
  <c r="D67" i="21"/>
  <c r="G67" i="21" s="1"/>
  <c r="A67" i="21"/>
  <c r="E66" i="21"/>
  <c r="F66" i="21"/>
  <c r="D66" i="21"/>
  <c r="A66" i="21"/>
  <c r="E65" i="21"/>
  <c r="F65" i="21"/>
  <c r="D65" i="21"/>
  <c r="A65" i="21"/>
  <c r="F58" i="21"/>
  <c r="E58" i="21"/>
  <c r="G58" i="21" s="1"/>
  <c r="C58" i="21"/>
  <c r="B58" i="21"/>
  <c r="A58" i="21"/>
  <c r="F57" i="21"/>
  <c r="E57" i="21"/>
  <c r="G57" i="21" s="1"/>
  <c r="C57" i="21"/>
  <c r="B57" i="21"/>
  <c r="A57" i="21"/>
  <c r="F56" i="21"/>
  <c r="E56" i="21"/>
  <c r="G56" i="21" s="1"/>
  <c r="C56" i="21"/>
  <c r="B56" i="21"/>
  <c r="A56" i="21"/>
  <c r="F55" i="21"/>
  <c r="E55" i="21"/>
  <c r="G55" i="21" s="1"/>
  <c r="C55" i="21"/>
  <c r="B55" i="21"/>
  <c r="A55" i="21"/>
  <c r="F54" i="21"/>
  <c r="E54" i="21"/>
  <c r="G54" i="21" s="1"/>
  <c r="C54" i="21"/>
  <c r="B54" i="21"/>
  <c r="A54" i="21"/>
  <c r="F53" i="21"/>
  <c r="E53" i="21"/>
  <c r="G53" i="21" s="1"/>
  <c r="C53" i="21"/>
  <c r="B53" i="21"/>
  <c r="A53" i="21"/>
  <c r="F52" i="21"/>
  <c r="E52" i="21"/>
  <c r="G52" i="21" s="1"/>
  <c r="C52" i="21"/>
  <c r="B52" i="21"/>
  <c r="A52" i="21"/>
  <c r="F51" i="21"/>
  <c r="E51" i="21"/>
  <c r="G51" i="21" s="1"/>
  <c r="C51" i="21"/>
  <c r="B51" i="21"/>
  <c r="A51" i="21"/>
  <c r="F50" i="21"/>
  <c r="E50" i="21"/>
  <c r="G50" i="21" s="1"/>
  <c r="C50" i="21"/>
  <c r="B50" i="21"/>
  <c r="A50" i="21"/>
  <c r="F49" i="21"/>
  <c r="E49" i="21"/>
  <c r="G49" i="21" s="1"/>
  <c r="C49" i="21"/>
  <c r="B49" i="21"/>
  <c r="A49" i="21"/>
  <c r="F48" i="21"/>
  <c r="E48" i="21"/>
  <c r="G48" i="21" s="1"/>
  <c r="C48" i="21"/>
  <c r="B48" i="21"/>
  <c r="A48" i="21"/>
  <c r="F47" i="21"/>
  <c r="E47" i="21"/>
  <c r="G47" i="21" s="1"/>
  <c r="C47" i="21"/>
  <c r="B47" i="21"/>
  <c r="A47" i="21"/>
  <c r="F46" i="21"/>
  <c r="E46" i="21"/>
  <c r="G46" i="21" s="1"/>
  <c r="C46" i="21"/>
  <c r="B46" i="21"/>
  <c r="A46" i="21"/>
  <c r="F45" i="21"/>
  <c r="E45" i="21"/>
  <c r="G45" i="21" s="1"/>
  <c r="C45" i="21"/>
  <c r="B45" i="21"/>
  <c r="A45" i="21"/>
  <c r="F44" i="21"/>
  <c r="E44" i="21"/>
  <c r="G44" i="21" s="1"/>
  <c r="C44" i="21"/>
  <c r="B44" i="21"/>
  <c r="A44" i="21"/>
  <c r="F43" i="21"/>
  <c r="E43" i="21"/>
  <c r="G43" i="21" s="1"/>
  <c r="C43" i="21"/>
  <c r="B43" i="21"/>
  <c r="A43" i="21"/>
  <c r="F42" i="21"/>
  <c r="E42" i="21"/>
  <c r="G42" i="21" s="1"/>
  <c r="C42" i="21"/>
  <c r="B42" i="21"/>
  <c r="A42" i="21"/>
  <c r="F41" i="21"/>
  <c r="E41" i="21"/>
  <c r="G41" i="21" s="1"/>
  <c r="C41" i="21"/>
  <c r="B41" i="21"/>
  <c r="A41" i="21"/>
  <c r="F40" i="21"/>
  <c r="E40" i="21"/>
  <c r="G40" i="21" s="1"/>
  <c r="C40" i="21"/>
  <c r="B40" i="21"/>
  <c r="A40" i="21"/>
  <c r="F39" i="21"/>
  <c r="E39" i="21"/>
  <c r="G39" i="21" s="1"/>
  <c r="C39" i="21"/>
  <c r="B39" i="21"/>
  <c r="A39" i="21"/>
  <c r="F38" i="21"/>
  <c r="E38" i="21"/>
  <c r="G38" i="21" s="1"/>
  <c r="C38" i="21"/>
  <c r="B38" i="21"/>
  <c r="A38" i="21"/>
  <c r="E13" i="5"/>
  <c r="F64" i="20"/>
  <c r="D64" i="20"/>
  <c r="G64" i="20" s="1"/>
  <c r="A64" i="20"/>
  <c r="F63" i="20"/>
  <c r="D63" i="20"/>
  <c r="G63" i="20" s="1"/>
  <c r="A63" i="20"/>
  <c r="E62" i="20"/>
  <c r="F62" i="20"/>
  <c r="D62" i="20"/>
  <c r="A62" i="20"/>
  <c r="E61" i="20"/>
  <c r="F61" i="20"/>
  <c r="D61" i="20"/>
  <c r="G61" i="20" s="1"/>
  <c r="A61" i="20"/>
  <c r="E60" i="20"/>
  <c r="F60" i="20"/>
  <c r="D60" i="20"/>
  <c r="A60" i="20"/>
  <c r="E59" i="20"/>
  <c r="F59" i="20"/>
  <c r="D59" i="20"/>
  <c r="G59" i="20" s="1"/>
  <c r="A59" i="20"/>
  <c r="E58" i="20"/>
  <c r="F58" i="20"/>
  <c r="D58" i="20"/>
  <c r="A58" i="20"/>
  <c r="F51" i="20"/>
  <c r="E51" i="20"/>
  <c r="G51" i="20" s="1"/>
  <c r="C51" i="20"/>
  <c r="B51" i="20"/>
  <c r="A51" i="20"/>
  <c r="F50" i="20"/>
  <c r="E50" i="20"/>
  <c r="G50" i="20" s="1"/>
  <c r="C50" i="20"/>
  <c r="B50" i="20"/>
  <c r="A50" i="20"/>
  <c r="F49" i="20"/>
  <c r="E49" i="20"/>
  <c r="G49" i="20" s="1"/>
  <c r="C49" i="20"/>
  <c r="B49" i="20"/>
  <c r="A49" i="20"/>
  <c r="F48" i="20"/>
  <c r="E48" i="20"/>
  <c r="G48" i="20" s="1"/>
  <c r="C48" i="20"/>
  <c r="B48" i="20"/>
  <c r="A48" i="20"/>
  <c r="F47" i="20"/>
  <c r="E47" i="20"/>
  <c r="G47" i="20" s="1"/>
  <c r="C47" i="20"/>
  <c r="B47" i="20"/>
  <c r="A47" i="20"/>
  <c r="F46" i="20"/>
  <c r="E46" i="20"/>
  <c r="G46" i="20" s="1"/>
  <c r="C46" i="20"/>
  <c r="B46" i="20"/>
  <c r="A46" i="20"/>
  <c r="F45" i="20"/>
  <c r="E45" i="20"/>
  <c r="G45" i="20" s="1"/>
  <c r="C45" i="20"/>
  <c r="B45" i="20"/>
  <c r="A45" i="20"/>
  <c r="F44" i="20"/>
  <c r="E44" i="20"/>
  <c r="G44" i="20" s="1"/>
  <c r="C44" i="20"/>
  <c r="B44" i="20"/>
  <c r="A44" i="20"/>
  <c r="F43" i="20"/>
  <c r="E43" i="20"/>
  <c r="G43" i="20" s="1"/>
  <c r="C43" i="20"/>
  <c r="B43" i="20"/>
  <c r="A43" i="20"/>
  <c r="F42" i="20"/>
  <c r="E42" i="20"/>
  <c r="G42" i="20" s="1"/>
  <c r="C42" i="20"/>
  <c r="B42" i="20"/>
  <c r="A42" i="20"/>
  <c r="F41" i="20"/>
  <c r="E41" i="20"/>
  <c r="G41" i="20" s="1"/>
  <c r="C41" i="20"/>
  <c r="B41" i="20"/>
  <c r="A41" i="20"/>
  <c r="F40" i="20"/>
  <c r="E40" i="20"/>
  <c r="G40" i="20" s="1"/>
  <c r="C40" i="20"/>
  <c r="B40" i="20"/>
  <c r="A40" i="20"/>
  <c r="F39" i="20"/>
  <c r="E39" i="20"/>
  <c r="G39" i="20" s="1"/>
  <c r="C39" i="20"/>
  <c r="B39" i="20"/>
  <c r="A39" i="20"/>
  <c r="F38" i="20"/>
  <c r="E38" i="20"/>
  <c r="G38" i="20" s="1"/>
  <c r="C38" i="20"/>
  <c r="B38" i="20"/>
  <c r="A38" i="20"/>
  <c r="F37" i="20"/>
  <c r="E37" i="20"/>
  <c r="G37" i="20" s="1"/>
  <c r="C37" i="20"/>
  <c r="B37" i="20"/>
  <c r="A37" i="20"/>
  <c r="F36" i="20"/>
  <c r="E36" i="20"/>
  <c r="G36" i="20" s="1"/>
  <c r="C36" i="20"/>
  <c r="B36" i="20"/>
  <c r="A36" i="20"/>
  <c r="E12" i="5"/>
  <c r="E62" i="19"/>
  <c r="F62" i="19"/>
  <c r="D62" i="19"/>
  <c r="A62" i="19"/>
  <c r="E61" i="19"/>
  <c r="F61" i="19"/>
  <c r="D61" i="19"/>
  <c r="A61" i="19"/>
  <c r="E60" i="19"/>
  <c r="F60" i="19"/>
  <c r="D60" i="19"/>
  <c r="A60" i="19"/>
  <c r="E59" i="19"/>
  <c r="F59" i="19"/>
  <c r="D59" i="19"/>
  <c r="G59" i="19" s="1"/>
  <c r="A59" i="19"/>
  <c r="F52" i="19"/>
  <c r="E52" i="19"/>
  <c r="G52" i="19" s="1"/>
  <c r="C52" i="19"/>
  <c r="B52" i="19"/>
  <c r="A52" i="19"/>
  <c r="F51" i="19"/>
  <c r="E51" i="19"/>
  <c r="G51" i="19" s="1"/>
  <c r="C51" i="19"/>
  <c r="B51" i="19"/>
  <c r="A51" i="19"/>
  <c r="F50" i="19"/>
  <c r="E50" i="19"/>
  <c r="G50" i="19" s="1"/>
  <c r="C50" i="19"/>
  <c r="B50" i="19"/>
  <c r="A50" i="19"/>
  <c r="F49" i="19"/>
  <c r="E49" i="19"/>
  <c r="G49" i="19" s="1"/>
  <c r="C49" i="19"/>
  <c r="B49" i="19"/>
  <c r="A49" i="19"/>
  <c r="F48" i="19"/>
  <c r="E48" i="19"/>
  <c r="G48" i="19" s="1"/>
  <c r="C48" i="19"/>
  <c r="B48" i="19"/>
  <c r="A48" i="19"/>
  <c r="F47" i="19"/>
  <c r="E47" i="19"/>
  <c r="G47" i="19" s="1"/>
  <c r="C47" i="19"/>
  <c r="B47" i="19"/>
  <c r="A47" i="19"/>
  <c r="F46" i="19"/>
  <c r="E46" i="19"/>
  <c r="G46" i="19" s="1"/>
  <c r="C46" i="19"/>
  <c r="B46" i="19"/>
  <c r="A46" i="19"/>
  <c r="F45" i="19"/>
  <c r="E45" i="19"/>
  <c r="G45" i="19" s="1"/>
  <c r="C45" i="19"/>
  <c r="B45" i="19"/>
  <c r="A45" i="19"/>
  <c r="F44" i="19"/>
  <c r="E44" i="19"/>
  <c r="G44" i="19" s="1"/>
  <c r="C44" i="19"/>
  <c r="B44" i="19"/>
  <c r="A44" i="19"/>
  <c r="F43" i="19"/>
  <c r="E43" i="19"/>
  <c r="G43" i="19" s="1"/>
  <c r="C43" i="19"/>
  <c r="B43" i="19"/>
  <c r="A43" i="19"/>
  <c r="F42" i="19"/>
  <c r="E42" i="19"/>
  <c r="G42" i="19" s="1"/>
  <c r="C42" i="19"/>
  <c r="B42" i="19"/>
  <c r="A42" i="19"/>
  <c r="F41" i="19"/>
  <c r="E41" i="19"/>
  <c r="G41" i="19" s="1"/>
  <c r="C41" i="19"/>
  <c r="B41" i="19"/>
  <c r="A41" i="19"/>
  <c r="F40" i="19"/>
  <c r="E40" i="19"/>
  <c r="G40" i="19" s="1"/>
  <c r="C40" i="19"/>
  <c r="B40" i="19"/>
  <c r="A40" i="19"/>
  <c r="F39" i="19"/>
  <c r="E39" i="19"/>
  <c r="G39" i="19" s="1"/>
  <c r="C39" i="19"/>
  <c r="B39" i="19"/>
  <c r="A39" i="19"/>
  <c r="F38" i="19"/>
  <c r="E38" i="19"/>
  <c r="G38" i="19" s="1"/>
  <c r="C38" i="19"/>
  <c r="B38" i="19"/>
  <c r="A38" i="19"/>
  <c r="F37" i="19"/>
  <c r="E37" i="19"/>
  <c r="G37" i="19" s="1"/>
  <c r="C37" i="19"/>
  <c r="B37" i="19"/>
  <c r="A37" i="19"/>
  <c r="F36" i="19"/>
  <c r="E36" i="19"/>
  <c r="G36" i="19" s="1"/>
  <c r="C36" i="19"/>
  <c r="B36" i="19"/>
  <c r="A36" i="19"/>
  <c r="F35" i="19"/>
  <c r="E35" i="19"/>
  <c r="G35" i="19" s="1"/>
  <c r="C35" i="19"/>
  <c r="B35" i="19"/>
  <c r="A35" i="19"/>
  <c r="E11" i="5"/>
  <c r="F60" i="18"/>
  <c r="D60" i="18"/>
  <c r="G60" i="18" s="1"/>
  <c r="A60" i="18"/>
  <c r="F59" i="18"/>
  <c r="D59" i="18"/>
  <c r="G59" i="18" s="1"/>
  <c r="A59" i="18"/>
  <c r="E58" i="18"/>
  <c r="F58" i="18"/>
  <c r="D58" i="18"/>
  <c r="G58" i="18" s="1"/>
  <c r="A58" i="18"/>
  <c r="E57" i="18"/>
  <c r="F57" i="18"/>
  <c r="D57" i="18"/>
  <c r="A57" i="18"/>
  <c r="E56" i="18"/>
  <c r="F56" i="18"/>
  <c r="D56" i="18"/>
  <c r="A56" i="18"/>
  <c r="F49" i="18"/>
  <c r="E49" i="18"/>
  <c r="G49" i="18" s="1"/>
  <c r="C49" i="18"/>
  <c r="B49" i="18"/>
  <c r="A49" i="18"/>
  <c r="F48" i="18"/>
  <c r="E48" i="18"/>
  <c r="G48" i="18" s="1"/>
  <c r="C48" i="18"/>
  <c r="B48" i="18"/>
  <c r="A48" i="18"/>
  <c r="F47" i="18"/>
  <c r="E47" i="18"/>
  <c r="G47" i="18" s="1"/>
  <c r="C47" i="18"/>
  <c r="B47" i="18"/>
  <c r="A47" i="18"/>
  <c r="F46" i="18"/>
  <c r="E46" i="18"/>
  <c r="G46" i="18" s="1"/>
  <c r="C46" i="18"/>
  <c r="B46" i="18"/>
  <c r="A46" i="18"/>
  <c r="F45" i="18"/>
  <c r="E45" i="18"/>
  <c r="G45" i="18" s="1"/>
  <c r="C45" i="18"/>
  <c r="B45" i="18"/>
  <c r="A45" i="18"/>
  <c r="F44" i="18"/>
  <c r="E44" i="18"/>
  <c r="G44" i="18" s="1"/>
  <c r="C44" i="18"/>
  <c r="B44" i="18"/>
  <c r="A44" i="18"/>
  <c r="F43" i="18"/>
  <c r="E43" i="18"/>
  <c r="G43" i="18" s="1"/>
  <c r="C43" i="18"/>
  <c r="B43" i="18"/>
  <c r="A43" i="18"/>
  <c r="F42" i="18"/>
  <c r="E42" i="18"/>
  <c r="G42" i="18" s="1"/>
  <c r="C42" i="18"/>
  <c r="B42" i="18"/>
  <c r="A42" i="18"/>
  <c r="F41" i="18"/>
  <c r="E41" i="18"/>
  <c r="G41" i="18" s="1"/>
  <c r="C41" i="18"/>
  <c r="B41" i="18"/>
  <c r="A41" i="18"/>
  <c r="F40" i="18"/>
  <c r="E40" i="18"/>
  <c r="G40" i="18" s="1"/>
  <c r="C40" i="18"/>
  <c r="B40" i="18"/>
  <c r="A40" i="18"/>
  <c r="F39" i="18"/>
  <c r="E39" i="18"/>
  <c r="G39" i="18" s="1"/>
  <c r="C39" i="18"/>
  <c r="B39" i="18"/>
  <c r="A39" i="18"/>
  <c r="F38" i="18"/>
  <c r="E38" i="18"/>
  <c r="G38" i="18" s="1"/>
  <c r="C38" i="18"/>
  <c r="B38" i="18"/>
  <c r="A38" i="18"/>
  <c r="F37" i="18"/>
  <c r="E37" i="18"/>
  <c r="G37" i="18" s="1"/>
  <c r="C37" i="18"/>
  <c r="B37" i="18"/>
  <c r="A37" i="18"/>
  <c r="F36" i="18"/>
  <c r="E36" i="18"/>
  <c r="G36" i="18" s="1"/>
  <c r="C36" i="18"/>
  <c r="B36" i="18"/>
  <c r="A36" i="18"/>
  <c r="F35" i="18"/>
  <c r="E35" i="18"/>
  <c r="G35" i="18" s="1"/>
  <c r="C35" i="18"/>
  <c r="B35" i="18"/>
  <c r="A35" i="18"/>
  <c r="F34" i="18"/>
  <c r="E34" i="18"/>
  <c r="G34" i="18" s="1"/>
  <c r="C34" i="18"/>
  <c r="B34" i="18"/>
  <c r="A34" i="18"/>
  <c r="E10" i="5"/>
  <c r="F55" i="17"/>
  <c r="D55" i="17"/>
  <c r="G55" i="17" s="1"/>
  <c r="A55" i="17"/>
  <c r="E54" i="17"/>
  <c r="F54" i="17"/>
  <c r="D54" i="17"/>
  <c r="A54" i="17"/>
  <c r="E53" i="17"/>
  <c r="F53" i="17"/>
  <c r="D53" i="17"/>
  <c r="A53" i="17"/>
  <c r="E52" i="17"/>
  <c r="F52" i="17"/>
  <c r="D52" i="17"/>
  <c r="A52" i="17"/>
  <c r="F45" i="17"/>
  <c r="E45" i="17"/>
  <c r="G45" i="17" s="1"/>
  <c r="C45" i="17"/>
  <c r="B45" i="17"/>
  <c r="A45" i="17"/>
  <c r="F44" i="17"/>
  <c r="E44" i="17"/>
  <c r="G44" i="17" s="1"/>
  <c r="C44" i="17"/>
  <c r="B44" i="17"/>
  <c r="A44" i="17"/>
  <c r="F43" i="17"/>
  <c r="E43" i="17"/>
  <c r="G43" i="17" s="1"/>
  <c r="C43" i="17"/>
  <c r="B43" i="17"/>
  <c r="A43" i="17"/>
  <c r="F42" i="17"/>
  <c r="E42" i="17"/>
  <c r="G42" i="17" s="1"/>
  <c r="C42" i="17"/>
  <c r="B42" i="17"/>
  <c r="A42" i="17"/>
  <c r="F41" i="17"/>
  <c r="E41" i="17"/>
  <c r="G41" i="17" s="1"/>
  <c r="C41" i="17"/>
  <c r="B41" i="17"/>
  <c r="A41" i="17"/>
  <c r="F40" i="17"/>
  <c r="E40" i="17"/>
  <c r="G40" i="17" s="1"/>
  <c r="C40" i="17"/>
  <c r="B40" i="17"/>
  <c r="A40" i="17"/>
  <c r="F39" i="17"/>
  <c r="E39" i="17"/>
  <c r="G39" i="17" s="1"/>
  <c r="C39" i="17"/>
  <c r="B39" i="17"/>
  <c r="A39" i="17"/>
  <c r="F38" i="17"/>
  <c r="E38" i="17"/>
  <c r="G38" i="17" s="1"/>
  <c r="C38" i="17"/>
  <c r="B38" i="17"/>
  <c r="A38" i="17"/>
  <c r="F37" i="17"/>
  <c r="E37" i="17"/>
  <c r="G37" i="17" s="1"/>
  <c r="C37" i="17"/>
  <c r="B37" i="17"/>
  <c r="A37" i="17"/>
  <c r="F36" i="17"/>
  <c r="E36" i="17"/>
  <c r="G36" i="17" s="1"/>
  <c r="C36" i="17"/>
  <c r="B36" i="17"/>
  <c r="A36" i="17"/>
  <c r="F35" i="17"/>
  <c r="E35" i="17"/>
  <c r="G35" i="17" s="1"/>
  <c r="C35" i="17"/>
  <c r="B35" i="17"/>
  <c r="A35" i="17"/>
  <c r="F34" i="17"/>
  <c r="E34" i="17"/>
  <c r="G34" i="17" s="1"/>
  <c r="C34" i="17"/>
  <c r="B34" i="17"/>
  <c r="A34" i="17"/>
  <c r="F33" i="17"/>
  <c r="E33" i="17"/>
  <c r="G33" i="17" s="1"/>
  <c r="C33" i="17"/>
  <c r="B33" i="17"/>
  <c r="A33" i="17"/>
  <c r="F32" i="17"/>
  <c r="E32" i="17"/>
  <c r="G32" i="17" s="1"/>
  <c r="C32" i="17"/>
  <c r="B32" i="17"/>
  <c r="A32" i="17"/>
  <c r="E9" i="5"/>
  <c r="F60" i="16"/>
  <c r="D60" i="16"/>
  <c r="G60" i="16" s="1"/>
  <c r="A60" i="16"/>
  <c r="F59" i="16"/>
  <c r="D59" i="16"/>
  <c r="G59" i="16" s="1"/>
  <c r="A59" i="16"/>
  <c r="E58" i="16"/>
  <c r="F58" i="16"/>
  <c r="D58" i="16"/>
  <c r="A58" i="16"/>
  <c r="E57" i="16"/>
  <c r="F57" i="16"/>
  <c r="D57" i="16"/>
  <c r="A57" i="16"/>
  <c r="E56" i="16"/>
  <c r="F56" i="16"/>
  <c r="D56" i="16"/>
  <c r="A56" i="16"/>
  <c r="F49" i="16"/>
  <c r="E49" i="16"/>
  <c r="G49" i="16" s="1"/>
  <c r="C49" i="16"/>
  <c r="B49" i="16"/>
  <c r="A49" i="16"/>
  <c r="F48" i="16"/>
  <c r="E48" i="16"/>
  <c r="G48" i="16" s="1"/>
  <c r="C48" i="16"/>
  <c r="B48" i="16"/>
  <c r="A48" i="16"/>
  <c r="F47" i="16"/>
  <c r="E47" i="16"/>
  <c r="G47" i="16" s="1"/>
  <c r="C47" i="16"/>
  <c r="B47" i="16"/>
  <c r="A47" i="16"/>
  <c r="F46" i="16"/>
  <c r="E46" i="16"/>
  <c r="G46" i="16" s="1"/>
  <c r="C46" i="16"/>
  <c r="B46" i="16"/>
  <c r="A46" i="16"/>
  <c r="F45" i="16"/>
  <c r="E45" i="16"/>
  <c r="G45" i="16" s="1"/>
  <c r="C45" i="16"/>
  <c r="B45" i="16"/>
  <c r="A45" i="16"/>
  <c r="F44" i="16"/>
  <c r="E44" i="16"/>
  <c r="G44" i="16" s="1"/>
  <c r="C44" i="16"/>
  <c r="B44" i="16"/>
  <c r="A44" i="16"/>
  <c r="F43" i="16"/>
  <c r="E43" i="16"/>
  <c r="G43" i="16" s="1"/>
  <c r="C43" i="16"/>
  <c r="B43" i="16"/>
  <c r="A43" i="16"/>
  <c r="F42" i="16"/>
  <c r="E42" i="16"/>
  <c r="G42" i="16" s="1"/>
  <c r="C42" i="16"/>
  <c r="B42" i="16"/>
  <c r="A42" i="16"/>
  <c r="F41" i="16"/>
  <c r="E41" i="16"/>
  <c r="G41" i="16" s="1"/>
  <c r="C41" i="16"/>
  <c r="B41" i="16"/>
  <c r="A41" i="16"/>
  <c r="F40" i="16"/>
  <c r="E40" i="16"/>
  <c r="G40" i="16" s="1"/>
  <c r="C40" i="16"/>
  <c r="B40" i="16"/>
  <c r="A40" i="16"/>
  <c r="F39" i="16"/>
  <c r="E39" i="16"/>
  <c r="G39" i="16" s="1"/>
  <c r="C39" i="16"/>
  <c r="B39" i="16"/>
  <c r="A39" i="16"/>
  <c r="F38" i="16"/>
  <c r="E38" i="16"/>
  <c r="G38" i="16" s="1"/>
  <c r="C38" i="16"/>
  <c r="B38" i="16"/>
  <c r="A38" i="16"/>
  <c r="F37" i="16"/>
  <c r="E37" i="16"/>
  <c r="G37" i="16" s="1"/>
  <c r="C37" i="16"/>
  <c r="B37" i="16"/>
  <c r="A37" i="16"/>
  <c r="F36" i="16"/>
  <c r="E36" i="16"/>
  <c r="G36" i="16" s="1"/>
  <c r="C36" i="16"/>
  <c r="B36" i="16"/>
  <c r="A36" i="16"/>
  <c r="F35" i="16"/>
  <c r="E35" i="16"/>
  <c r="G35" i="16" s="1"/>
  <c r="C35" i="16"/>
  <c r="B35" i="16"/>
  <c r="A35" i="16"/>
  <c r="F34" i="16"/>
  <c r="E34" i="16"/>
  <c r="G34" i="16" s="1"/>
  <c r="C34" i="16"/>
  <c r="B34" i="16"/>
  <c r="A34" i="16"/>
  <c r="E8" i="5"/>
  <c r="F65" i="15"/>
  <c r="D65" i="15"/>
  <c r="G65" i="15" s="1"/>
  <c r="A65" i="15"/>
  <c r="E64" i="15"/>
  <c r="F64" i="15"/>
  <c r="D64" i="15"/>
  <c r="A64" i="15"/>
  <c r="E63" i="15"/>
  <c r="F63" i="15"/>
  <c r="D63" i="15"/>
  <c r="A63" i="15"/>
  <c r="E62" i="15"/>
  <c r="F62" i="15"/>
  <c r="D62" i="15"/>
  <c r="A62" i="15"/>
  <c r="E61" i="15"/>
  <c r="F61" i="15"/>
  <c r="D61" i="15"/>
  <c r="A61" i="15"/>
  <c r="F54" i="15"/>
  <c r="E54" i="15"/>
  <c r="G54" i="15" s="1"/>
  <c r="C54" i="15"/>
  <c r="B54" i="15"/>
  <c r="A54" i="15"/>
  <c r="F53" i="15"/>
  <c r="E53" i="15"/>
  <c r="G53" i="15" s="1"/>
  <c r="C53" i="15"/>
  <c r="B53" i="15"/>
  <c r="A53" i="15"/>
  <c r="F52" i="15"/>
  <c r="E52" i="15"/>
  <c r="G52" i="15" s="1"/>
  <c r="C52" i="15"/>
  <c r="B52" i="15"/>
  <c r="A52" i="15"/>
  <c r="F51" i="15"/>
  <c r="E51" i="15"/>
  <c r="G51" i="15" s="1"/>
  <c r="C51" i="15"/>
  <c r="B51" i="15"/>
  <c r="A51" i="15"/>
  <c r="F50" i="15"/>
  <c r="E50" i="15"/>
  <c r="G50" i="15" s="1"/>
  <c r="C50" i="15"/>
  <c r="B50" i="15"/>
  <c r="A50" i="15"/>
  <c r="F49" i="15"/>
  <c r="E49" i="15"/>
  <c r="G49" i="15" s="1"/>
  <c r="C49" i="15"/>
  <c r="B49" i="15"/>
  <c r="A49" i="15"/>
  <c r="F48" i="15"/>
  <c r="E48" i="15"/>
  <c r="G48" i="15" s="1"/>
  <c r="C48" i="15"/>
  <c r="B48" i="15"/>
  <c r="A48" i="15"/>
  <c r="F47" i="15"/>
  <c r="E47" i="15"/>
  <c r="G47" i="15" s="1"/>
  <c r="C47" i="15"/>
  <c r="B47" i="15"/>
  <c r="A47" i="15"/>
  <c r="F46" i="15"/>
  <c r="E46" i="15"/>
  <c r="G46" i="15" s="1"/>
  <c r="C46" i="15"/>
  <c r="B46" i="15"/>
  <c r="A46" i="15"/>
  <c r="F45" i="15"/>
  <c r="E45" i="15"/>
  <c r="G45" i="15" s="1"/>
  <c r="C45" i="15"/>
  <c r="B45" i="15"/>
  <c r="A45" i="15"/>
  <c r="F44" i="15"/>
  <c r="E44" i="15"/>
  <c r="G44" i="15" s="1"/>
  <c r="C44" i="15"/>
  <c r="B44" i="15"/>
  <c r="A44" i="15"/>
  <c r="F43" i="15"/>
  <c r="E43" i="15"/>
  <c r="G43" i="15" s="1"/>
  <c r="C43" i="15"/>
  <c r="B43" i="15"/>
  <c r="A43" i="15"/>
  <c r="F42" i="15"/>
  <c r="E42" i="15"/>
  <c r="G42" i="15" s="1"/>
  <c r="C42" i="15"/>
  <c r="B42" i="15"/>
  <c r="A42" i="15"/>
  <c r="F41" i="15"/>
  <c r="E41" i="15"/>
  <c r="G41" i="15" s="1"/>
  <c r="C41" i="15"/>
  <c r="B41" i="15"/>
  <c r="A41" i="15"/>
  <c r="F40" i="15"/>
  <c r="E40" i="15"/>
  <c r="G40" i="15" s="1"/>
  <c r="C40" i="15"/>
  <c r="B40" i="15"/>
  <c r="A40" i="15"/>
  <c r="F39" i="15"/>
  <c r="E39" i="15"/>
  <c r="G39" i="15" s="1"/>
  <c r="C39" i="15"/>
  <c r="B39" i="15"/>
  <c r="A39" i="15"/>
  <c r="F38" i="15"/>
  <c r="E38" i="15"/>
  <c r="G38" i="15" s="1"/>
  <c r="C38" i="15"/>
  <c r="B38" i="15"/>
  <c r="A38" i="15"/>
  <c r="F37" i="15"/>
  <c r="E37" i="15"/>
  <c r="G37" i="15" s="1"/>
  <c r="C37" i="15"/>
  <c r="B37" i="15"/>
  <c r="A37" i="15"/>
  <c r="F36" i="15"/>
  <c r="E36" i="15"/>
  <c r="G36" i="15" s="1"/>
  <c r="C36" i="15"/>
  <c r="B36" i="15"/>
  <c r="A36" i="15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39" i="10"/>
  <c r="H38" i="10"/>
  <c r="H22" i="10"/>
  <c r="H21" i="10"/>
  <c r="H20" i="10"/>
  <c r="H19" i="10"/>
  <c r="H17" i="10"/>
  <c r="H18" i="10"/>
  <c r="H16" i="10"/>
  <c r="H15" i="10"/>
  <c r="H14" i="10"/>
  <c r="H13" i="10"/>
  <c r="H71" i="13"/>
  <c r="I71" i="13"/>
  <c r="J71" i="13"/>
  <c r="K71" i="13"/>
  <c r="L71" i="13"/>
  <c r="G71" i="13"/>
  <c r="R63" i="13"/>
  <c r="S63" i="13"/>
  <c r="T63" i="13"/>
  <c r="H63" i="13"/>
  <c r="I63" i="13"/>
  <c r="J63" i="13"/>
  <c r="K63" i="13"/>
  <c r="L63" i="13"/>
  <c r="M63" i="13"/>
  <c r="N63" i="13"/>
  <c r="O63" i="13"/>
  <c r="P63" i="13"/>
  <c r="Q63" i="13"/>
  <c r="G63" i="13"/>
  <c r="G59" i="66" l="1"/>
  <c r="D59" i="5" s="1"/>
  <c r="G48" i="66"/>
  <c r="C59" i="5" s="1"/>
  <c r="G66" i="65"/>
  <c r="D58" i="5" s="1"/>
  <c r="G54" i="65"/>
  <c r="C58" i="5" s="1"/>
  <c r="G63" i="64"/>
  <c r="D57" i="5" s="1"/>
  <c r="G52" i="64"/>
  <c r="C57" i="5" s="1"/>
  <c r="G58" i="24"/>
  <c r="G52" i="27"/>
  <c r="G60" i="20"/>
  <c r="G56" i="63"/>
  <c r="D56" i="5" s="1"/>
  <c r="G46" i="63"/>
  <c r="C56" i="5" s="1"/>
  <c r="G56" i="16"/>
  <c r="G59" i="62"/>
  <c r="D55" i="5" s="1"/>
  <c r="G48" i="62"/>
  <c r="C55" i="5" s="1"/>
  <c r="G63" i="61"/>
  <c r="D54" i="5" s="1"/>
  <c r="G52" i="61"/>
  <c r="C54" i="5" s="1"/>
  <c r="G67" i="60"/>
  <c r="D53" i="5" s="1"/>
  <c r="G53" i="60"/>
  <c r="C53" i="5" s="1"/>
  <c r="G71" i="59"/>
  <c r="D52" i="5" s="1"/>
  <c r="G59" i="59"/>
  <c r="C52" i="5" s="1"/>
  <c r="G57" i="26"/>
  <c r="G67" i="58"/>
  <c r="D51" i="5" s="1"/>
  <c r="G53" i="58"/>
  <c r="C51" i="5" s="1"/>
  <c r="G57" i="30"/>
  <c r="G58" i="30"/>
  <c r="G60" i="45"/>
  <c r="G65" i="45" s="1"/>
  <c r="D38" i="5" s="1"/>
  <c r="G64" i="48"/>
  <c r="G57" i="49"/>
  <c r="G62" i="49" s="1"/>
  <c r="D42" i="5" s="1"/>
  <c r="G65" i="21"/>
  <c r="G63" i="23"/>
  <c r="G63" i="25"/>
  <c r="G56" i="33"/>
  <c r="G52" i="35"/>
  <c r="G61" i="35" s="1"/>
  <c r="D28" i="5" s="1"/>
  <c r="G63" i="36"/>
  <c r="G52" i="38"/>
  <c r="G53" i="38"/>
  <c r="G54" i="38"/>
  <c r="G63" i="48"/>
  <c r="G65" i="57"/>
  <c r="D50" i="5" s="1"/>
  <c r="G54" i="57"/>
  <c r="C50" i="5" s="1"/>
  <c r="G60" i="19"/>
  <c r="G62" i="24"/>
  <c r="G58" i="26"/>
  <c r="G63" i="29"/>
  <c r="G61" i="24"/>
  <c r="G61" i="29"/>
  <c r="G63" i="56"/>
  <c r="D49" i="5" s="1"/>
  <c r="G51" i="56"/>
  <c r="C49" i="5" s="1"/>
  <c r="G85" i="55"/>
  <c r="D48" i="5" s="1"/>
  <c r="G66" i="55"/>
  <c r="C48" i="5" s="1"/>
  <c r="G68" i="21"/>
  <c r="G54" i="17"/>
  <c r="G66" i="21"/>
  <c r="G63" i="54"/>
  <c r="D47" i="5" s="1"/>
  <c r="G51" i="54"/>
  <c r="C47" i="5" s="1"/>
  <c r="G52" i="17"/>
  <c r="G85" i="53"/>
  <c r="D46" i="5" s="1"/>
  <c r="G66" i="53"/>
  <c r="C46" i="5" s="1"/>
  <c r="G63" i="52"/>
  <c r="D45" i="5" s="1"/>
  <c r="G51" i="52"/>
  <c r="C45" i="5" s="1"/>
  <c r="G85" i="51"/>
  <c r="D44" i="5" s="1"/>
  <c r="G66" i="51"/>
  <c r="C44" i="5" s="1"/>
  <c r="G57" i="16"/>
  <c r="G62" i="50"/>
  <c r="D43" i="5" s="1"/>
  <c r="G50" i="50"/>
  <c r="C43" i="5" s="1"/>
  <c r="G57" i="18"/>
  <c r="G50" i="49"/>
  <c r="C42" i="5" s="1"/>
  <c r="G56" i="48"/>
  <c r="C41" i="5" s="1"/>
  <c r="G62" i="47"/>
  <c r="D40" i="5" s="1"/>
  <c r="G50" i="47"/>
  <c r="C40" i="5" s="1"/>
  <c r="G53" i="17"/>
  <c r="G65" i="46"/>
  <c r="D39" i="5" s="1"/>
  <c r="G54" i="46"/>
  <c r="C39" i="5" s="1"/>
  <c r="G52" i="45"/>
  <c r="C38" i="5" s="1"/>
  <c r="G67" i="44"/>
  <c r="D37" i="5" s="1"/>
  <c r="G53" i="44"/>
  <c r="C37" i="5" s="1"/>
  <c r="G71" i="43"/>
  <c r="D36" i="5" s="1"/>
  <c r="G59" i="43"/>
  <c r="C36" i="5" s="1"/>
  <c r="G63" i="15"/>
  <c r="G58" i="42"/>
  <c r="D35" i="5" s="1"/>
  <c r="G46" i="42"/>
  <c r="C35" i="5" s="1"/>
  <c r="G61" i="19"/>
  <c r="G62" i="19"/>
  <c r="G59" i="22"/>
  <c r="G67" i="22" s="1"/>
  <c r="D15" i="5" s="1"/>
  <c r="G61" i="15"/>
  <c r="G58" i="41"/>
  <c r="D34" i="5" s="1"/>
  <c r="G46" i="41"/>
  <c r="C34" i="5" s="1"/>
  <c r="G69" i="40"/>
  <c r="D33" i="5" s="1"/>
  <c r="G56" i="40"/>
  <c r="C33" i="5" s="1"/>
  <c r="G58" i="39"/>
  <c r="D32" i="5" s="1"/>
  <c r="G46" i="39"/>
  <c r="C32" i="5" s="1"/>
  <c r="G47" i="38"/>
  <c r="C31" i="5" s="1"/>
  <c r="G58" i="37"/>
  <c r="D30" i="5" s="1"/>
  <c r="G46" i="37"/>
  <c r="C30" i="5" s="1"/>
  <c r="G69" i="36"/>
  <c r="D29" i="5" s="1"/>
  <c r="G56" i="36"/>
  <c r="C29" i="5" s="1"/>
  <c r="G47" i="35"/>
  <c r="C28" i="5" s="1"/>
  <c r="G62" i="15"/>
  <c r="G71" i="34"/>
  <c r="D27" i="5" s="1"/>
  <c r="G59" i="34"/>
  <c r="C27" i="5" s="1"/>
  <c r="G62" i="33"/>
  <c r="D26" i="5" s="1"/>
  <c r="G48" i="33"/>
  <c r="C26" i="5" s="1"/>
  <c r="G71" i="32"/>
  <c r="D25" i="5" s="1"/>
  <c r="G59" i="32"/>
  <c r="C25" i="5" s="1"/>
  <c r="G63" i="31"/>
  <c r="D24" i="5" s="1"/>
  <c r="G51" i="31"/>
  <c r="C24" i="5" s="1"/>
  <c r="G63" i="30"/>
  <c r="D23" i="5" s="1"/>
  <c r="G51" i="30"/>
  <c r="C23" i="5" s="1"/>
  <c r="G68" i="29"/>
  <c r="D22" i="5" s="1"/>
  <c r="G56" i="29"/>
  <c r="C22" i="5" s="1"/>
  <c r="G63" i="28"/>
  <c r="D21" i="5" s="1"/>
  <c r="G51" i="28"/>
  <c r="C21" i="5" s="1"/>
  <c r="G58" i="20"/>
  <c r="G62" i="20"/>
  <c r="G58" i="27"/>
  <c r="D20" i="5" s="1"/>
  <c r="G47" i="27"/>
  <c r="C20" i="5" s="1"/>
  <c r="G64" i="15"/>
  <c r="G56" i="18"/>
  <c r="G63" i="26"/>
  <c r="D19" i="5" s="1"/>
  <c r="G51" i="26"/>
  <c r="C19" i="5" s="1"/>
  <c r="G68" i="25"/>
  <c r="D18" i="5" s="1"/>
  <c r="G56" i="25"/>
  <c r="C18" i="5" s="1"/>
  <c r="G58" i="16"/>
  <c r="G63" i="16" s="1"/>
  <c r="D9" i="5" s="1"/>
  <c r="G69" i="21"/>
  <c r="G67" i="24"/>
  <c r="D17" i="5" s="1"/>
  <c r="G53" i="24"/>
  <c r="C17" i="5" s="1"/>
  <c r="G67" i="23"/>
  <c r="D16" i="5" s="1"/>
  <c r="G55" i="23"/>
  <c r="C16" i="5" s="1"/>
  <c r="G53" i="22"/>
  <c r="C15" i="5" s="1"/>
  <c r="G60" i="21"/>
  <c r="C14" i="5" s="1"/>
  <c r="G53" i="20"/>
  <c r="C13" i="5" s="1"/>
  <c r="G54" i="19"/>
  <c r="C12" i="5" s="1"/>
  <c r="G51" i="18"/>
  <c r="C11" i="5" s="1"/>
  <c r="G47" i="17"/>
  <c r="C10" i="5" s="1"/>
  <c r="G51" i="16"/>
  <c r="C9" i="5" s="1"/>
  <c r="G56" i="15"/>
  <c r="C8" i="5" s="1"/>
  <c r="H65" i="10"/>
  <c r="H41" i="10"/>
  <c r="F59" i="5" l="1"/>
  <c r="G59" i="5" s="1"/>
  <c r="F61" i="13"/>
  <c r="D34" i="12"/>
  <c r="G34" i="12" s="1"/>
  <c r="F58" i="5"/>
  <c r="G58" i="5" s="1"/>
  <c r="F57" i="5"/>
  <c r="G57" i="5" s="1"/>
  <c r="F55" i="5"/>
  <c r="G55" i="5" s="1"/>
  <c r="F56" i="5"/>
  <c r="G56" i="5" s="1"/>
  <c r="F54" i="5"/>
  <c r="G54" i="5" s="1"/>
  <c r="G68" i="48"/>
  <c r="D41" i="5" s="1"/>
  <c r="F41" i="5" s="1"/>
  <c r="G41" i="5" s="1"/>
  <c r="F53" i="5"/>
  <c r="F52" i="5"/>
  <c r="G52" i="5" s="1"/>
  <c r="G53" i="5"/>
  <c r="G73" i="21"/>
  <c r="D14" i="5" s="1"/>
  <c r="F51" i="5"/>
  <c r="G58" i="17"/>
  <c r="D10" i="5" s="1"/>
  <c r="F10" i="5" s="1"/>
  <c r="G10" i="5" s="1"/>
  <c r="F48" i="5"/>
  <c r="G48" i="5" s="1"/>
  <c r="F50" i="5"/>
  <c r="G50" i="5" s="1"/>
  <c r="G51" i="5"/>
  <c r="G59" i="38"/>
  <c r="D31" i="5" s="1"/>
  <c r="F31" i="5" s="1"/>
  <c r="G31" i="5" s="1"/>
  <c r="G63" i="18"/>
  <c r="D11" i="5" s="1"/>
  <c r="F11" i="5" s="1"/>
  <c r="G11" i="5" s="1"/>
  <c r="F49" i="5"/>
  <c r="G49" i="5" s="1"/>
  <c r="F47" i="5"/>
  <c r="G47" i="5" s="1"/>
  <c r="F46" i="5"/>
  <c r="G46" i="5" s="1"/>
  <c r="F43" i="5"/>
  <c r="G43" i="5" s="1"/>
  <c r="F45" i="13" s="1"/>
  <c r="F44" i="5"/>
  <c r="F45" i="5"/>
  <c r="G45" i="5" s="1"/>
  <c r="G44" i="5"/>
  <c r="F42" i="5"/>
  <c r="G42" i="5" s="1"/>
  <c r="F40" i="5"/>
  <c r="G40" i="5" s="1"/>
  <c r="F39" i="5"/>
  <c r="G39" i="5" s="1"/>
  <c r="G65" i="19"/>
  <c r="D12" i="5" s="1"/>
  <c r="F12" i="5" s="1"/>
  <c r="G12" i="5" s="1"/>
  <c r="F38" i="5"/>
  <c r="G38" i="5" s="1"/>
  <c r="F37" i="5"/>
  <c r="G37" i="5" s="1"/>
  <c r="G68" i="15"/>
  <c r="D8" i="5" s="1"/>
  <c r="F8" i="5" s="1"/>
  <c r="G8" i="5" s="1"/>
  <c r="G67" i="20"/>
  <c r="D13" i="5" s="1"/>
  <c r="F13" i="5" s="1"/>
  <c r="G13" i="5" s="1"/>
  <c r="F36" i="5"/>
  <c r="G36" i="5" s="1"/>
  <c r="F35" i="5"/>
  <c r="G35" i="5" s="1"/>
  <c r="F37" i="13" s="1"/>
  <c r="F33" i="5"/>
  <c r="G33" i="5" s="1"/>
  <c r="F34" i="5"/>
  <c r="G34" i="5" s="1"/>
  <c r="F32" i="5"/>
  <c r="G32" i="5" s="1"/>
  <c r="F30" i="5"/>
  <c r="G30" i="5" s="1"/>
  <c r="F29" i="5"/>
  <c r="G29" i="5" s="1"/>
  <c r="F28" i="5"/>
  <c r="G28" i="5" s="1"/>
  <c r="F27" i="5"/>
  <c r="G27" i="5" s="1"/>
  <c r="F26" i="5"/>
  <c r="G26" i="5" s="1"/>
  <c r="F25" i="5"/>
  <c r="G25" i="5" s="1"/>
  <c r="F23" i="5"/>
  <c r="G23" i="5" s="1"/>
  <c r="F24" i="5"/>
  <c r="G24" i="5" s="1"/>
  <c r="F26" i="13" s="1"/>
  <c r="F21" i="5"/>
  <c r="G21" i="5" s="1"/>
  <c r="F22" i="5"/>
  <c r="G22" i="5" s="1"/>
  <c r="F20" i="5"/>
  <c r="G20" i="5" s="1"/>
  <c r="F19" i="5"/>
  <c r="G19" i="5" s="1"/>
  <c r="F18" i="5"/>
  <c r="G18" i="5" s="1"/>
  <c r="F17" i="5"/>
  <c r="G17" i="5" s="1"/>
  <c r="F16" i="5"/>
  <c r="G16" i="5" s="1"/>
  <c r="F15" i="5"/>
  <c r="G15" i="5" s="1"/>
  <c r="F14" i="5"/>
  <c r="G14" i="5" s="1"/>
  <c r="F9" i="5"/>
  <c r="G9" i="5" s="1"/>
  <c r="C9" i="12" l="1"/>
  <c r="F12" i="13"/>
  <c r="F11" i="13"/>
  <c r="E8" i="12"/>
  <c r="C11" i="12"/>
  <c r="F16" i="13"/>
  <c r="C12" i="12"/>
  <c r="F18" i="13"/>
  <c r="C13" i="12"/>
  <c r="F20" i="13"/>
  <c r="C14" i="12"/>
  <c r="F22" i="13"/>
  <c r="F23" i="13"/>
  <c r="E14" i="12"/>
  <c r="F25" i="13"/>
  <c r="E15" i="12"/>
  <c r="F28" i="13"/>
  <c r="E16" i="12"/>
  <c r="F30" i="13"/>
  <c r="E17" i="12"/>
  <c r="F32" i="13"/>
  <c r="E18" i="12"/>
  <c r="F36" i="13"/>
  <c r="E20" i="12"/>
  <c r="F15" i="13"/>
  <c r="E10" i="12"/>
  <c r="F39" i="13"/>
  <c r="E21" i="12"/>
  <c r="C10" i="12"/>
  <c r="F14" i="13"/>
  <c r="F22" i="12"/>
  <c r="F42" i="13"/>
  <c r="F46" i="13"/>
  <c r="C24" i="12"/>
  <c r="F48" i="13"/>
  <c r="C25" i="12"/>
  <c r="F51" i="13"/>
  <c r="E26" i="12"/>
  <c r="F33" i="13"/>
  <c r="C19" i="12"/>
  <c r="F52" i="13"/>
  <c r="C27" i="12"/>
  <c r="F54" i="13"/>
  <c r="C28" i="12"/>
  <c r="F43" i="13"/>
  <c r="C23" i="12"/>
  <c r="F58" i="13"/>
  <c r="D31" i="12"/>
  <c r="G31" i="12" s="1"/>
  <c r="F59" i="13"/>
  <c r="D32" i="12"/>
  <c r="G32" i="12" s="1"/>
  <c r="F17" i="13"/>
  <c r="E11" i="12"/>
  <c r="F19" i="13"/>
  <c r="E12" i="12"/>
  <c r="F21" i="13"/>
  <c r="E13" i="12"/>
  <c r="C15" i="12"/>
  <c r="F24" i="13"/>
  <c r="F27" i="13"/>
  <c r="C16" i="12"/>
  <c r="G16" i="12" s="1"/>
  <c r="F29" i="13"/>
  <c r="C17" i="12"/>
  <c r="G17" i="12" s="1"/>
  <c r="F31" i="13"/>
  <c r="C18" i="12"/>
  <c r="G18" i="12" s="1"/>
  <c r="F34" i="13"/>
  <c r="E19" i="12"/>
  <c r="F35" i="13"/>
  <c r="C20" i="12"/>
  <c r="G20" i="12" s="1"/>
  <c r="C21" i="12"/>
  <c r="F38" i="13"/>
  <c r="C8" i="12"/>
  <c r="F10" i="13"/>
  <c r="F21" i="12"/>
  <c r="F40" i="13"/>
  <c r="F41" i="13"/>
  <c r="C22" i="12"/>
  <c r="F23" i="12"/>
  <c r="F44" i="13"/>
  <c r="F47" i="13"/>
  <c r="E24" i="12"/>
  <c r="F49" i="13"/>
  <c r="E25" i="12"/>
  <c r="F13" i="13"/>
  <c r="E9" i="12"/>
  <c r="F53" i="13"/>
  <c r="E27" i="12"/>
  <c r="F50" i="13"/>
  <c r="C26" i="12"/>
  <c r="G26" i="12" s="1"/>
  <c r="F55" i="13"/>
  <c r="E28" i="12"/>
  <c r="F56" i="13"/>
  <c r="D29" i="12"/>
  <c r="G29" i="12" s="1"/>
  <c r="F57" i="13"/>
  <c r="D30" i="12"/>
  <c r="G30" i="12" s="1"/>
  <c r="F60" i="13"/>
  <c r="D33" i="12"/>
  <c r="G33" i="12" s="1"/>
  <c r="L3" i="10"/>
  <c r="G22" i="12" l="1"/>
  <c r="G23" i="12"/>
  <c r="G28" i="12"/>
  <c r="G27" i="12"/>
  <c r="G19" i="12"/>
  <c r="G25" i="12"/>
  <c r="G24" i="12"/>
  <c r="G8" i="12"/>
  <c r="G21" i="12"/>
  <c r="G15" i="12"/>
  <c r="G10" i="12"/>
  <c r="G14" i="12"/>
  <c r="G13" i="12"/>
  <c r="G12" i="12"/>
  <c r="G11" i="12"/>
  <c r="G9" i="12"/>
  <c r="G62" i="5"/>
  <c r="N2" i="10" s="1"/>
  <c r="G37" i="12" l="1"/>
  <c r="N3" i="10" s="1"/>
  <c r="L2" i="10"/>
  <c r="L4" i="10" s="1"/>
</calcChain>
</file>

<file path=xl/sharedStrings.xml><?xml version="1.0" encoding="utf-8"?>
<sst xmlns="http://schemas.openxmlformats.org/spreadsheetml/2006/main" count="3263" uniqueCount="328">
  <si>
    <t>Customer :</t>
  </si>
  <si>
    <t>Site :</t>
  </si>
  <si>
    <t>Part Description</t>
  </si>
  <si>
    <t>Price</t>
  </si>
  <si>
    <t>Per</t>
  </si>
  <si>
    <t>Total :</t>
  </si>
  <si>
    <t>Item</t>
  </si>
  <si>
    <t>Rate</t>
  </si>
  <si>
    <t>Unit</t>
  </si>
  <si>
    <t>Quantity</t>
  </si>
  <si>
    <t>SPECIFICATION</t>
  </si>
  <si>
    <t>DIMENSIONS</t>
  </si>
  <si>
    <t>Plot :</t>
  </si>
  <si>
    <t>Item :</t>
  </si>
  <si>
    <t>MATERIALS</t>
  </si>
  <si>
    <t>LABOUR</t>
  </si>
  <si>
    <t>Cost</t>
  </si>
  <si>
    <t>Materials</t>
  </si>
  <si>
    <t>Labour</t>
  </si>
  <si>
    <t>Margin</t>
  </si>
  <si>
    <t>Total</t>
  </si>
  <si>
    <t>Markup %</t>
  </si>
  <si>
    <t>SUMMARY</t>
  </si>
  <si>
    <t>Site Materials</t>
  </si>
  <si>
    <t>Manufacturer Name</t>
  </si>
  <si>
    <t>Colour</t>
  </si>
  <si>
    <t>Product Code</t>
  </si>
  <si>
    <t>Product Name</t>
  </si>
  <si>
    <t>Per Text</t>
  </si>
  <si>
    <t>Site Labour</t>
  </si>
  <si>
    <t>Description</t>
  </si>
  <si>
    <t>Tile</t>
  </si>
  <si>
    <t>SCHEDULE</t>
  </si>
  <si>
    <t>Plot 
Reference</t>
  </si>
  <si>
    <t>Plot
Description</t>
  </si>
  <si>
    <t>Site Check List</t>
  </si>
  <si>
    <t>Job Summary</t>
  </si>
  <si>
    <t>Site Schedule</t>
  </si>
  <si>
    <t>Code</t>
  </si>
  <si>
    <t>Plot Ref</t>
  </si>
  <si>
    <t>Plot Desc</t>
  </si>
  <si>
    <t>Eave</t>
  </si>
  <si>
    <t>Hip</t>
  </si>
  <si>
    <t>Valley</t>
  </si>
  <si>
    <t>SITE DIMENSIONS</t>
  </si>
  <si>
    <t>PITCHED</t>
  </si>
  <si>
    <t>VERTICAL</t>
  </si>
  <si>
    <t>Interal Angle</t>
  </si>
  <si>
    <t>External Angle</t>
  </si>
  <si>
    <t>Gable</t>
  </si>
  <si>
    <t>Area</t>
  </si>
  <si>
    <t>Top Course</t>
  </si>
  <si>
    <t>Left Verge</t>
  </si>
  <si>
    <t>Right Verge</t>
  </si>
  <si>
    <t>Duo Ridge</t>
  </si>
  <si>
    <t>Mono Ridge</t>
  </si>
  <si>
    <t>Top Abutment</t>
  </si>
  <si>
    <t>Abut Courses</t>
  </si>
  <si>
    <t>Rafter Spacing</t>
  </si>
  <si>
    <t>Party Wall</t>
  </si>
  <si>
    <t>Secret Gutter</t>
  </si>
  <si>
    <t>Bonding Length</t>
  </si>
  <si>
    <t>Tile Colour</t>
  </si>
  <si>
    <t>Reference :</t>
  </si>
  <si>
    <t xml:space="preserve">Reference : </t>
  </si>
  <si>
    <t>Cost Per m²</t>
  </si>
  <si>
    <t>Please check ALL pricing. You are responsible for the final pricing of Materials, Labour and Mark up.
Minimum pitch and headlap of Main Tiles are dependant on colour and finish - check before ordering</t>
  </si>
  <si>
    <t>TileWorks</t>
  </si>
  <si>
    <t>Not Specified</t>
  </si>
  <si>
    <t>TLE Tile</t>
  </si>
  <si>
    <t>Each</t>
  </si>
  <si>
    <t>Ridge Tile (450mm)</t>
  </si>
  <si>
    <t>Roll</t>
  </si>
  <si>
    <t>Battens (50mm x 25mm)</t>
  </si>
  <si>
    <t>Metre</t>
  </si>
  <si>
    <t>Hip Support Tray (1.2m)</t>
  </si>
  <si>
    <t>Universal Dry Ridge/Hip System (6m)</t>
  </si>
  <si>
    <t>Pack</t>
  </si>
  <si>
    <t>LH Uni-Fix Dry Verge Unit</t>
  </si>
  <si>
    <t>RH Uni-Fix Dry Verge Unit</t>
  </si>
  <si>
    <t>Uni-Fix Universal Ridge End Cap</t>
  </si>
  <si>
    <t>Dry Verge Starter Unit</t>
  </si>
  <si>
    <t>Generic Eave Insulation (1m)</t>
  </si>
  <si>
    <t>Generic Party Wall Insulation (1m)</t>
  </si>
  <si>
    <t>10mm Over Fascia Vent (1m)</t>
  </si>
  <si>
    <t>25mm Over Fascia Vent (1m)</t>
  </si>
  <si>
    <t>Rafter Roll (6m x 600mm)</t>
  </si>
  <si>
    <t>Underlay Support Tray (1.5m)</t>
  </si>
  <si>
    <t>GRP Dry Fix Valley Trough - Over Batten Fix (3m x 400mm x 70mm)</t>
  </si>
  <si>
    <t>Sidelock Tile Clips (TLE)</t>
  </si>
  <si>
    <t>Metal Batten End Clips</t>
  </si>
  <si>
    <t>Eave Clip</t>
  </si>
  <si>
    <t>45mm x 3.35mm Aluminium Nails</t>
  </si>
  <si>
    <t>Kg</t>
  </si>
  <si>
    <t>Batten Nails - 65mm x 3.35mm Galvanised</t>
  </si>
  <si>
    <t>Lead Code 4 - 300mm (6m)</t>
  </si>
  <si>
    <t>Lead Hip Saddle</t>
  </si>
  <si>
    <t>Lead Valley Saddle</t>
  </si>
  <si>
    <t>Lead Ridge Apex Saddle</t>
  </si>
  <si>
    <t>Lead Slate</t>
  </si>
  <si>
    <t>Main Area</t>
  </si>
  <si>
    <t>m²</t>
  </si>
  <si>
    <t>m</t>
  </si>
  <si>
    <t>Verge</t>
  </si>
  <si>
    <t>Party Wall Insulation</t>
  </si>
  <si>
    <t>Apron Flashing (Code 4)</t>
  </si>
  <si>
    <t>Step and Cover Flashing (Code 4)</t>
  </si>
  <si>
    <t>Boiler Flue</t>
  </si>
  <si>
    <t>Cutting and Dressing to GRP Dormers</t>
  </si>
  <si>
    <t>Labour for Cutting to Solar Panels</t>
  </si>
  <si>
    <t>Labour for Cutting to Velux</t>
  </si>
  <si>
    <t>Labour for Lower Level</t>
  </si>
  <si>
    <t>Labour for Porches</t>
  </si>
  <si>
    <t>Area (sq m):</t>
  </si>
  <si>
    <t>Eave (m):</t>
  </si>
  <si>
    <t>Left Verge (m):</t>
  </si>
  <si>
    <t>Right Verge (m):</t>
  </si>
  <si>
    <t>Duo Ridge (m):</t>
  </si>
  <si>
    <t>Party Wall (m):</t>
  </si>
  <si>
    <t>Rafter Spacing (mm):</t>
  </si>
  <si>
    <t>Pitch (deg.):</t>
  </si>
  <si>
    <t>Tile:</t>
  </si>
  <si>
    <t>TileWorks - TLE Tile (Colour - Not Specified) - Headlap 75 mm</t>
  </si>
  <si>
    <t>Fixings:</t>
  </si>
  <si>
    <t>Perimeters - Eaves Clipped, Tiles Nailed</t>
  </si>
  <si>
    <t>General Areas - Tiles Clipped (50%), Tiles Nailed (100%)</t>
  </si>
  <si>
    <t>Eaves:</t>
  </si>
  <si>
    <t>Generic, Generic Eave Insulation (1m)</t>
  </si>
  <si>
    <t>TileWorks, 10mm Over Fascia Vent (1m)</t>
  </si>
  <si>
    <t>Verge:</t>
  </si>
  <si>
    <t>Individual Dry Verge</t>
  </si>
  <si>
    <t>1 Ridge End Cap(s)</t>
  </si>
  <si>
    <t>Duo Ridge:</t>
  </si>
  <si>
    <t>Universal Ridge System (6m) with Ridge Tile (450mm)</t>
  </si>
  <si>
    <t>Batten:</t>
  </si>
  <si>
    <t>Battens (50mm x 25mm), Batten Nails - 65mm x 3.35mm Galvanised</t>
  </si>
  <si>
    <t>Underlay:</t>
  </si>
  <si>
    <t>Main Area - Tileworks VP300 Vapour Permeable Underlay (50m x 1m)</t>
  </si>
  <si>
    <t>ALN-END Alnwick - End</t>
  </si>
  <si>
    <t>Main Roof</t>
  </si>
  <si>
    <t>ALN-END-Main Roof</t>
  </si>
  <si>
    <t>Top Course (m):</t>
  </si>
  <si>
    <t>TileWorks, 25mm Over Fascia Vent (1m)</t>
  </si>
  <si>
    <t>Flashing:</t>
  </si>
  <si>
    <t>Apron Flashing</t>
  </si>
  <si>
    <t>Porch (Lean to)</t>
  </si>
  <si>
    <t>ALN-END-Porch (Lean to)</t>
  </si>
  <si>
    <t>ALN-MID Alnwick - Mid</t>
  </si>
  <si>
    <t>ALN-MID-Main Roof</t>
  </si>
  <si>
    <t>ALN-MID-Porch (Lean to)</t>
  </si>
  <si>
    <t>2 Ridge End Cap(s)</t>
  </si>
  <si>
    <t>CHE Chedworth</t>
  </si>
  <si>
    <t>CHE-Main Roof</t>
  </si>
  <si>
    <t>Side Abutment (m):</t>
  </si>
  <si>
    <t>General Areas - Tiles Nailed (100%)</t>
  </si>
  <si>
    <t>Step and Cover Flashing</t>
  </si>
  <si>
    <t>Porch (Gable)</t>
  </si>
  <si>
    <t>CHE-Porch (Gable)</t>
  </si>
  <si>
    <t>Valley (m):</t>
  </si>
  <si>
    <t>3 Ridge End Cap(s)</t>
  </si>
  <si>
    <t>Valley:</t>
  </si>
  <si>
    <t>GRP Dry Fix Valley Trough - Over Batten Fix (3m)</t>
  </si>
  <si>
    <t>Valley - Tileworks VP300 Vapour Permeable Underlay (50m x 1m)</t>
  </si>
  <si>
    <t>CLN Clandon Plus</t>
  </si>
  <si>
    <t>CLN-Main Roof</t>
  </si>
  <si>
    <t>CLN-Porch (Gable)</t>
  </si>
  <si>
    <t>CLY Clayton Corner</t>
  </si>
  <si>
    <t>CLY-Main Roof</t>
  </si>
  <si>
    <t>CLY-Porch (Gable)</t>
  </si>
  <si>
    <t>HNB-END Hanbury - End</t>
  </si>
  <si>
    <t>HNB-END-Main Roof</t>
  </si>
  <si>
    <t>HNB-END-Porch (Lean to)</t>
  </si>
  <si>
    <t>HNB-MID Hanbury - Mid</t>
  </si>
  <si>
    <t>HNB-MID-Main Roof</t>
  </si>
  <si>
    <t>HNB-MID-Porch (Lean to)</t>
  </si>
  <si>
    <t>HNB-SMI Hanbury - Semi</t>
  </si>
  <si>
    <t>HNB-SMI-Main Roof</t>
  </si>
  <si>
    <t>HNB-SMI-Porch (Lean to)</t>
  </si>
  <si>
    <t>HNB-SMI-Porch (Lean to)(1)</t>
  </si>
  <si>
    <t>35-40</t>
  </si>
  <si>
    <t>HTF Hatfield</t>
  </si>
  <si>
    <t>HTF-Main Roof</t>
  </si>
  <si>
    <t>HTF-Porch (Lean to)</t>
  </si>
  <si>
    <t>KND Kendal</t>
  </si>
  <si>
    <t>KND-Main Roof</t>
  </si>
  <si>
    <t>KND-Porch (Lean to)</t>
  </si>
  <si>
    <t>MSL-END Moseley - End</t>
  </si>
  <si>
    <t>MSL-END-Main Roof</t>
  </si>
  <si>
    <t>MSL-END-Porch (Lean to)</t>
  </si>
  <si>
    <t>MSL-MID Moseley - Mid</t>
  </si>
  <si>
    <t>MSL-MID-Main Roof</t>
  </si>
  <si>
    <t>MSL-MID-Porch (Lean to)</t>
  </si>
  <si>
    <t>MSL-SMI Moseley - Semi</t>
  </si>
  <si>
    <t>MSL-SMI-Main Roof</t>
  </si>
  <si>
    <t>MSL-SMI-Porch (Lean to)</t>
  </si>
  <si>
    <t>MSL-SMI-Porch (Lean to)(1)</t>
  </si>
  <si>
    <t>ROS Roseberry</t>
  </si>
  <si>
    <t>ROS-Main Roof</t>
  </si>
  <si>
    <t>ROS-Porch (Gable)</t>
  </si>
  <si>
    <t>Lower Level</t>
  </si>
  <si>
    <t>ROS-Lower Level</t>
  </si>
  <si>
    <t>RUF-DET Rufford - Detached</t>
  </si>
  <si>
    <t>RUF-DET-Main Roof</t>
  </si>
  <si>
    <t>RUF-DET-Lower Level</t>
  </si>
  <si>
    <t>RUF-SMI Rufford - Semi</t>
  </si>
  <si>
    <t>RUF-SMI-Main Roof</t>
  </si>
  <si>
    <t>RUF-SMI-Lower Level</t>
  </si>
  <si>
    <t>RUF-SMI-Lower Level(1)</t>
  </si>
  <si>
    <t>37.5-45</t>
  </si>
  <si>
    <t>SOU-END Souter - End</t>
  </si>
  <si>
    <t>SOU-END-Main Roof</t>
  </si>
  <si>
    <t>SOU-END-Porch (Lean to)</t>
  </si>
  <si>
    <t>SOU-MID Souter - Mid</t>
  </si>
  <si>
    <t>SOU-MID-Main Roof</t>
  </si>
  <si>
    <t>SOU-MID-Porch (Lean to)</t>
  </si>
  <si>
    <t>4 Ridge End Cap(s)</t>
  </si>
  <si>
    <t>SOU-SMI Souter - Semi</t>
  </si>
  <si>
    <t>SOU-SMI-Main Roof</t>
  </si>
  <si>
    <t>SOU-SMI-Porch (Lean to)</t>
  </si>
  <si>
    <t>TIV Tiverton</t>
  </si>
  <si>
    <t>TIV-Main Roof</t>
  </si>
  <si>
    <t>TIV-Porch (Gable)</t>
  </si>
  <si>
    <t>35-45</t>
  </si>
  <si>
    <t>WIN Winster</t>
  </si>
  <si>
    <t>WIN-Main Roof</t>
  </si>
  <si>
    <t>WIN-Porch (Gable)</t>
  </si>
  <si>
    <t>Z-GDBL6.7 Garage - Double (6.7m Ridge)</t>
  </si>
  <si>
    <t>Garage</t>
  </si>
  <si>
    <t>Z-GDBL6.7-Garage</t>
  </si>
  <si>
    <t>Hip (m):</t>
  </si>
  <si>
    <t>Hip - Tileworks VP300 Vapour Permeable Underlay (50m x 1m)</t>
  </si>
  <si>
    <t>Hip:</t>
  </si>
  <si>
    <t>Universal Hip System (6m) with - Ridge Tile (450mm)</t>
  </si>
  <si>
    <t>Z-GDBLHIP Garage - Double (Hipped)</t>
  </si>
  <si>
    <t>Z-GDBLHIP-Garage</t>
  </si>
  <si>
    <t>Z-GDBLPYR Garage - Double (Pyramid 7.2m)</t>
  </si>
  <si>
    <t>Z-GDBLPYR-Garage</t>
  </si>
  <si>
    <t>Z-GSNG3.5 Garage - Single (3.5m Ridge)</t>
  </si>
  <si>
    <t>Z-GSNG3.5-Garage</t>
  </si>
  <si>
    <t>Z-GTWN6.7 Garage - Twin (6.7m Ridge)</t>
  </si>
  <si>
    <t>Z-GTWN6.7-Garage</t>
  </si>
  <si>
    <t>Z-GTWNPYR Garage - Twin (Pyramid 7.2m)</t>
  </si>
  <si>
    <t>Z-GTWNPYR-Garage</t>
  </si>
  <si>
    <t>ALN-END</t>
  </si>
  <si>
    <t>Alnwick - End</t>
  </si>
  <si>
    <t>ALN-MID</t>
  </si>
  <si>
    <t>Alnwick - Mid</t>
  </si>
  <si>
    <t>CHE</t>
  </si>
  <si>
    <t>Chedworth</t>
  </si>
  <si>
    <t>CLN</t>
  </si>
  <si>
    <t>Clandon Plus</t>
  </si>
  <si>
    <t>CLY</t>
  </si>
  <si>
    <t>Clayton Corner</t>
  </si>
  <si>
    <t>HNB-END</t>
  </si>
  <si>
    <t>Hanbury - End</t>
  </si>
  <si>
    <t>HNB-MID</t>
  </si>
  <si>
    <t>Hanbury - Mid</t>
  </si>
  <si>
    <t>HNB-SMI</t>
  </si>
  <si>
    <t>Hanbury - Semi</t>
  </si>
  <si>
    <t>HTF</t>
  </si>
  <si>
    <t>Hatfield</t>
  </si>
  <si>
    <t>KND</t>
  </si>
  <si>
    <t>Kendal</t>
  </si>
  <si>
    <t>MSL-END</t>
  </si>
  <si>
    <t>Moseley - End</t>
  </si>
  <si>
    <t>MSL-MID</t>
  </si>
  <si>
    <t>Moseley - Mid</t>
  </si>
  <si>
    <t>MSL-SMI</t>
  </si>
  <si>
    <t>Moseley - Semi</t>
  </si>
  <si>
    <t>ROS</t>
  </si>
  <si>
    <t>Roseberry</t>
  </si>
  <si>
    <t>RUF-DET</t>
  </si>
  <si>
    <t>Rufford - Detached</t>
  </si>
  <si>
    <t>RUF-SMI</t>
  </si>
  <si>
    <t>Rufford - Semi</t>
  </si>
  <si>
    <t>SOU-END</t>
  </si>
  <si>
    <t>Souter - End</t>
  </si>
  <si>
    <t>SOU-MID</t>
  </si>
  <si>
    <t>Souter - Mid</t>
  </si>
  <si>
    <t>SOU-SMI</t>
  </si>
  <si>
    <t>Souter - Semi</t>
  </si>
  <si>
    <t>TIV</t>
  </si>
  <si>
    <t>Tiverton</t>
  </si>
  <si>
    <t>WIN</t>
  </si>
  <si>
    <t>Winster</t>
  </si>
  <si>
    <t>Z-GDBL6.7</t>
  </si>
  <si>
    <t>Garage - Double (6.7m Ridge)</t>
  </si>
  <si>
    <t>Z-GDBLHIP</t>
  </si>
  <si>
    <t>Garage - Double (Hipped)</t>
  </si>
  <si>
    <t>Z-GDBLPYR</t>
  </si>
  <si>
    <t>Garage - Double (Pyramid 7.2m)</t>
  </si>
  <si>
    <t>Z-GSNG3.5</t>
  </si>
  <si>
    <t>Garage - Single (3.5m Ridge)</t>
  </si>
  <si>
    <t>Z-GTWN6.7</t>
  </si>
  <si>
    <t>Garage - Twin (6.7m Ridge)</t>
  </si>
  <si>
    <t>Z-GTWNPYR</t>
  </si>
  <si>
    <t>Garage - Twin (Pyramid 7.2m)</t>
  </si>
  <si>
    <t>Porch</t>
  </si>
  <si>
    <t>Example Customer</t>
  </si>
  <si>
    <t>Site Address</t>
  </si>
  <si>
    <t>VP300 Vapour Permeable Underlay (50m x 1m)</t>
  </si>
  <si>
    <t>001</t>
  </si>
  <si>
    <t>002</t>
  </si>
  <si>
    <t>003</t>
  </si>
  <si>
    <t>004</t>
  </si>
  <si>
    <t>005</t>
  </si>
  <si>
    <t>006</t>
  </si>
  <si>
    <t>007</t>
  </si>
  <si>
    <t>010</t>
  </si>
  <si>
    <t>011</t>
  </si>
  <si>
    <t>012</t>
  </si>
  <si>
    <t>015</t>
  </si>
  <si>
    <t>016</t>
  </si>
  <si>
    <t>019</t>
  </si>
  <si>
    <t>020</t>
  </si>
  <si>
    <t>G005-006</t>
  </si>
  <si>
    <t>G001</t>
  </si>
  <si>
    <t>G002</t>
  </si>
  <si>
    <t>G003</t>
  </si>
  <si>
    <t>G004</t>
  </si>
  <si>
    <t>G007-008</t>
  </si>
  <si>
    <t>023</t>
  </si>
  <si>
    <t>008-009</t>
  </si>
  <si>
    <t>013-014</t>
  </si>
  <si>
    <t>017-018</t>
  </si>
  <si>
    <t>021-022</t>
  </si>
  <si>
    <t>024</t>
  </si>
  <si>
    <t>Site Address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</si>
</sst>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£&quot;* #,##0.00_);_(&quot;£&quot;* \(#,##0.00\);_(&quot;£&quot;* &quot;-&quot;??_);_(@_)"/>
    <numFmt numFmtId="165" formatCode="#,##0.00_);\-#,##0.00"/>
    <numFmt numFmtId="166" formatCode="&quot;£&quot;#,##0.00"/>
  </numFmts>
  <fonts count="25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Tahoma"/>
      <family val="2"/>
    </font>
    <font>
      <sz val="10"/>
      <color indexed="8"/>
      <name val="MS Sans Serif"/>
    </font>
    <font>
      <b/>
      <sz val="12"/>
      <color indexed="8"/>
      <name val="Tahoma"/>
      <family val="2"/>
    </font>
    <font>
      <sz val="11"/>
      <color rgb="FFFF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u/>
      <sz val="10"/>
      <color indexed="8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color indexed="8"/>
      <name val="Calibri"/>
      <family val="2"/>
      <scheme val="minor"/>
    </font>
    <font>
      <sz val="8"/>
      <name val="MS Sans Serif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0">
    <xf numFmtId="0" fontId="0" fillId="0" borderId="0"/>
    <xf numFmtId="164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4">
    <xf numFmtId="0" fontId="0" fillId="0" borderId="0" xfId="0"/>
    <xf numFmtId="0" fontId="10" fillId="0" borderId="0" xfId="0" applyFont="1" applyAlignment="1">
      <alignment horizontal="left" vertical="center"/>
    </xf>
    <xf numFmtId="0" fontId="11" fillId="0" borderId="0" xfId="0" applyFont="1"/>
    <xf numFmtId="0" fontId="12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0" fillId="0" borderId="0" xfId="0" applyFont="1"/>
    <xf numFmtId="164" fontId="11" fillId="0" borderId="0" xfId="1" applyFont="1" applyFill="1" applyBorder="1" applyAlignment="1" applyProtection="1"/>
    <xf numFmtId="0" fontId="11" fillId="0" borderId="0" xfId="0" applyFont="1" applyAlignment="1">
      <alignment horizontal="left" vertical="center"/>
    </xf>
    <xf numFmtId="164" fontId="11" fillId="0" borderId="0" xfId="1" applyFont="1" applyBorder="1" applyAlignment="1">
      <alignment vertical="center"/>
    </xf>
    <xf numFmtId="164" fontId="10" fillId="0" borderId="0" xfId="1" applyFont="1" applyBorder="1" applyAlignment="1">
      <alignment horizontal="center" vertical="center"/>
    </xf>
    <xf numFmtId="164" fontId="11" fillId="0" borderId="0" xfId="1" applyFont="1" applyFill="1" applyBorder="1" applyAlignment="1" applyProtection="1">
      <alignment horizontal="right"/>
    </xf>
    <xf numFmtId="164" fontId="10" fillId="0" borderId="0" xfId="0" applyNumberFormat="1" applyFont="1"/>
    <xf numFmtId="164" fontId="11" fillId="0" borderId="0" xfId="0" applyNumberFormat="1" applyFont="1"/>
    <xf numFmtId="9" fontId="11" fillId="0" borderId="0" xfId="0" applyNumberFormat="1" applyFont="1"/>
    <xf numFmtId="0" fontId="9" fillId="0" borderId="0" xfId="0" applyFont="1"/>
    <xf numFmtId="164" fontId="9" fillId="0" borderId="0" xfId="1" applyFont="1" applyFill="1" applyBorder="1" applyAlignment="1" applyProtection="1"/>
    <xf numFmtId="9" fontId="13" fillId="0" borderId="0" xfId="2" applyFont="1" applyFill="1" applyBorder="1" applyAlignment="1" applyProtection="1"/>
    <xf numFmtId="9" fontId="9" fillId="0" borderId="0" xfId="0" applyNumberFormat="1" applyFont="1"/>
    <xf numFmtId="164" fontId="11" fillId="0" borderId="2" xfId="0" applyNumberFormat="1" applyFont="1" applyBorder="1"/>
    <xf numFmtId="0" fontId="11" fillId="0" borderId="0" xfId="0" applyFont="1" applyAlignment="1">
      <alignment vertical="center"/>
    </xf>
    <xf numFmtId="164" fontId="10" fillId="0" borderId="2" xfId="1" applyFont="1" applyFill="1" applyBorder="1" applyAlignment="1" applyProtection="1"/>
    <xf numFmtId="164" fontId="10" fillId="0" borderId="0" xfId="1" applyFont="1" applyFill="1" applyBorder="1" applyAlignment="1" applyProtection="1"/>
    <xf numFmtId="0" fontId="14" fillId="0" borderId="0" xfId="0" applyFont="1" applyAlignment="1">
      <alignment horizontal="left" vertical="center"/>
    </xf>
    <xf numFmtId="0" fontId="15" fillId="0" borderId="0" xfId="0" applyFont="1"/>
    <xf numFmtId="0" fontId="16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/>
    </xf>
    <xf numFmtId="0" fontId="16" fillId="0" borderId="0" xfId="0" applyFont="1"/>
    <xf numFmtId="0" fontId="14" fillId="0" borderId="0" xfId="0" applyFont="1"/>
    <xf numFmtId="0" fontId="14" fillId="0" borderId="0" xfId="0" applyFont="1" applyAlignment="1">
      <alignment horizontal="right"/>
    </xf>
    <xf numFmtId="1" fontId="15" fillId="0" borderId="0" xfId="0" applyNumberFormat="1" applyFont="1" applyAlignment="1">
      <alignment horizontal="right"/>
    </xf>
    <xf numFmtId="164" fontId="15" fillId="0" borderId="0" xfId="12" applyFont="1" applyFill="1" applyBorder="1" applyAlignment="1" applyProtection="1">
      <alignment horizontal="right"/>
    </xf>
    <xf numFmtId="0" fontId="15" fillId="0" borderId="0" xfId="0" applyFont="1" applyAlignment="1">
      <alignment horizontal="right"/>
    </xf>
    <xf numFmtId="0" fontId="14" fillId="0" borderId="0" xfId="0" applyFont="1" applyAlignment="1">
      <alignment horizontal="right" vertical="center"/>
    </xf>
    <xf numFmtId="164" fontId="14" fillId="0" borderId="1" xfId="12" applyFont="1" applyBorder="1" applyAlignment="1">
      <alignment horizontal="right" vertical="center"/>
    </xf>
    <xf numFmtId="164" fontId="15" fillId="0" borderId="0" xfId="12" applyFont="1" applyFill="1" applyBorder="1" applyAlignment="1" applyProtection="1"/>
    <xf numFmtId="165" fontId="15" fillId="0" borderId="0" xfId="0" applyNumberFormat="1" applyFont="1"/>
    <xf numFmtId="165" fontId="15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165" fontId="14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4" fillId="0" borderId="6" xfId="0" applyFont="1" applyBorder="1"/>
    <xf numFmtId="164" fontId="15" fillId="0" borderId="6" xfId="0" applyNumberFormat="1" applyFont="1" applyBorder="1"/>
    <xf numFmtId="49" fontId="15" fillId="0" borderId="0" xfId="0" applyNumberFormat="1" applyFont="1" applyAlignment="1">
      <alignment vertical="center"/>
    </xf>
    <xf numFmtId="0" fontId="15" fillId="0" borderId="0" xfId="0" applyFont="1" applyAlignment="1">
      <alignment horizontal="center"/>
    </xf>
    <xf numFmtId="0" fontId="17" fillId="2" borderId="3" xfId="0" applyFont="1" applyFill="1" applyBorder="1" applyAlignment="1">
      <alignment horizontal="left" vertical="center"/>
    </xf>
    <xf numFmtId="0" fontId="17" fillId="2" borderId="4" xfId="0" applyFont="1" applyFill="1" applyBorder="1"/>
    <xf numFmtId="0" fontId="17" fillId="2" borderId="5" xfId="0" applyFont="1" applyFill="1" applyBorder="1" applyAlignment="1">
      <alignment horizontal="center"/>
    </xf>
    <xf numFmtId="0" fontId="15" fillId="0" borderId="6" xfId="0" applyFont="1" applyBorder="1"/>
    <xf numFmtId="49" fontId="15" fillId="0" borderId="0" xfId="0" applyNumberFormat="1" applyFont="1"/>
    <xf numFmtId="49" fontId="15" fillId="0" borderId="0" xfId="12" applyNumberFormat="1" applyFont="1" applyBorder="1" applyAlignment="1">
      <alignment vertical="center"/>
    </xf>
    <xf numFmtId="49" fontId="15" fillId="0" borderId="0" xfId="12" applyNumberFormat="1" applyFont="1" applyFill="1" applyBorder="1" applyAlignment="1" applyProtection="1"/>
    <xf numFmtId="49" fontId="15" fillId="0" borderId="0" xfId="2" applyNumberFormat="1" applyFont="1" applyFill="1" applyBorder="1" applyAlignment="1" applyProtection="1"/>
    <xf numFmtId="2" fontId="15" fillId="0" borderId="0" xfId="12" applyNumberFormat="1" applyFont="1" applyFill="1" applyBorder="1" applyAlignment="1" applyProtection="1"/>
    <xf numFmtId="164" fontId="18" fillId="0" borderId="0" xfId="12" applyFont="1" applyFill="1" applyBorder="1" applyAlignment="1" applyProtection="1"/>
    <xf numFmtId="49" fontId="15" fillId="0" borderId="0" xfId="0" applyNumberFormat="1" applyFont="1" applyAlignment="1">
      <alignment horizontal="center"/>
    </xf>
    <xf numFmtId="164" fontId="15" fillId="0" borderId="0" xfId="0" applyNumberFormat="1" applyFont="1"/>
    <xf numFmtId="0" fontId="14" fillId="0" borderId="0" xfId="0" applyFont="1" applyAlignment="1">
      <alignment vertical="center"/>
    </xf>
    <xf numFmtId="0" fontId="19" fillId="0" borderId="0" xfId="0" applyFont="1"/>
    <xf numFmtId="164" fontId="14" fillId="0" borderId="2" xfId="0" applyNumberFormat="1" applyFont="1" applyBorder="1"/>
    <xf numFmtId="2" fontId="15" fillId="0" borderId="0" xfId="0" applyNumberFormat="1" applyFont="1"/>
    <xf numFmtId="0" fontId="18" fillId="0" borderId="0" xfId="0" applyFont="1"/>
    <xf numFmtId="164" fontId="14" fillId="0" borderId="0" xfId="0" applyNumberFormat="1" applyFont="1"/>
    <xf numFmtId="0" fontId="17" fillId="2" borderId="3" xfId="0" applyFont="1" applyFill="1" applyBorder="1" applyAlignment="1">
      <alignment vertical="center"/>
    </xf>
    <xf numFmtId="0" fontId="17" fillId="2" borderId="4" xfId="0" applyFont="1" applyFill="1" applyBorder="1" applyAlignment="1">
      <alignment vertical="center"/>
    </xf>
    <xf numFmtId="0" fontId="20" fillId="0" borderId="0" xfId="0" applyFont="1"/>
    <xf numFmtId="0" fontId="21" fillId="0" borderId="0" xfId="0" applyFont="1"/>
    <xf numFmtId="0" fontId="18" fillId="0" borderId="0" xfId="0" applyFont="1" applyAlignment="1">
      <alignment horizontal="center"/>
    </xf>
    <xf numFmtId="9" fontId="15" fillId="0" borderId="0" xfId="0" applyNumberFormat="1" applyFont="1"/>
    <xf numFmtId="22" fontId="15" fillId="0" borderId="0" xfId="0" applyNumberFormat="1" applyFont="1"/>
    <xf numFmtId="14" fontId="15" fillId="0" borderId="0" xfId="0" applyNumberFormat="1" applyFont="1"/>
    <xf numFmtId="49" fontId="10" fillId="0" borderId="0" xfId="0" applyNumberFormat="1" applyFont="1" applyAlignment="1">
      <alignment horizontal="left" vertical="center"/>
    </xf>
    <xf numFmtId="49" fontId="11" fillId="0" borderId="0" xfId="0" applyNumberFormat="1" applyFont="1"/>
    <xf numFmtId="49" fontId="12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center" wrapText="1"/>
    </xf>
    <xf numFmtId="49" fontId="10" fillId="0" borderId="0" xfId="0" applyNumberFormat="1" applyFont="1"/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2" fontId="15" fillId="0" borderId="2" xfId="0" applyNumberFormat="1" applyFont="1" applyBorder="1"/>
    <xf numFmtId="0" fontId="17" fillId="2" borderId="4" xfId="0" applyFont="1" applyFill="1" applyBorder="1" applyAlignment="1">
      <alignment horizontal="left"/>
    </xf>
    <xf numFmtId="49" fontId="20" fillId="0" borderId="0" xfId="0" applyNumberFormat="1" applyFont="1"/>
    <xf numFmtId="49" fontId="20" fillId="0" borderId="0" xfId="12" applyNumberFormat="1" applyFont="1" applyBorder="1" applyAlignment="1">
      <alignment vertical="center"/>
    </xf>
    <xf numFmtId="49" fontId="20" fillId="0" borderId="0" xfId="12" applyNumberFormat="1" applyFont="1" applyFill="1" applyBorder="1" applyAlignment="1" applyProtection="1"/>
    <xf numFmtId="2" fontId="20" fillId="0" borderId="0" xfId="12" applyNumberFormat="1" applyFont="1" applyFill="1" applyBorder="1" applyAlignment="1" applyProtection="1"/>
    <xf numFmtId="2" fontId="20" fillId="0" borderId="0" xfId="0" applyNumberFormat="1" applyFont="1"/>
    <xf numFmtId="0" fontId="20" fillId="0" borderId="0" xfId="0" applyFont="1" applyAlignment="1">
      <alignment horizontal="left" vertical="center"/>
    </xf>
    <xf numFmtId="166" fontId="20" fillId="0" borderId="0" xfId="0" applyNumberFormat="1" applyFont="1"/>
    <xf numFmtId="166" fontId="20" fillId="0" borderId="0" xfId="12" applyNumberFormat="1" applyFont="1" applyFill="1" applyBorder="1" applyAlignment="1" applyProtection="1"/>
    <xf numFmtId="166" fontId="15" fillId="0" borderId="0" xfId="12" applyNumberFormat="1" applyFont="1" applyFill="1" applyBorder="1" applyAlignment="1" applyProtection="1"/>
    <xf numFmtId="0" fontId="15" fillId="0" borderId="0" xfId="0" applyFont="1" applyAlignment="1">
      <alignment vertical="top"/>
    </xf>
    <xf numFmtId="49" fontId="15" fillId="0" borderId="0" xfId="12" applyNumberFormat="1" applyFont="1" applyFill="1" applyBorder="1" applyAlignment="1">
      <alignment vertical="center"/>
    </xf>
    <xf numFmtId="49" fontId="15" fillId="0" borderId="0" xfId="0" quotePrefix="1" applyNumberFormat="1" applyFont="1"/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22" fillId="3" borderId="7" xfId="0" applyFont="1" applyFill="1" applyBorder="1" applyAlignment="1">
      <alignment horizontal="center" vertical="center" wrapText="1"/>
    </xf>
    <xf numFmtId="0" fontId="23" fillId="3" borderId="8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center" vertical="center" wrapText="1"/>
    </xf>
    <xf numFmtId="0" fontId="23" fillId="3" borderId="10" xfId="0" applyFont="1" applyFill="1" applyBorder="1" applyAlignment="1">
      <alignment horizontal="center" vertical="center" wrapText="1"/>
    </xf>
    <xf numFmtId="0" fontId="23" fillId="3" borderId="11" xfId="0" applyFont="1" applyFill="1" applyBorder="1" applyAlignment="1">
      <alignment horizontal="center" vertical="center" wrapText="1"/>
    </xf>
    <xf numFmtId="0" fontId="23" fillId="3" borderId="1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/>
  </cellXfs>
  <cellStyles count="70">
    <cellStyle name="Currency" xfId="1" builtinId="4"/>
    <cellStyle name="Currency 2" xfId="3" xr:uid="{00000000-0005-0000-0000-000001000000}"/>
    <cellStyle name="Currency 2 2" xfId="8" xr:uid="{00000000-0005-0000-0000-000002000000}"/>
    <cellStyle name="Currency 2 2 2" xfId="25" xr:uid="{00000000-0005-0000-0000-000003000000}"/>
    <cellStyle name="Currency 2 2 2 2" xfId="59" xr:uid="{00000000-0005-0000-0000-000004000000}"/>
    <cellStyle name="Currency 2 2 3" xfId="42" xr:uid="{00000000-0005-0000-0000-000005000000}"/>
    <cellStyle name="Currency 2 3" xfId="20" xr:uid="{00000000-0005-0000-0000-000006000000}"/>
    <cellStyle name="Currency 2 3 2" xfId="54" xr:uid="{00000000-0005-0000-0000-000007000000}"/>
    <cellStyle name="Currency 2 4" xfId="37" xr:uid="{00000000-0005-0000-0000-000008000000}"/>
    <cellStyle name="Currency 3" xfId="5" xr:uid="{00000000-0005-0000-0000-000009000000}"/>
    <cellStyle name="Currency 3 2" xfId="10" xr:uid="{00000000-0005-0000-0000-00000A000000}"/>
    <cellStyle name="Currency 3 2 2" xfId="17" xr:uid="{00000000-0005-0000-0000-00000B000000}"/>
    <cellStyle name="Currency 3 2 2 2" xfId="34" xr:uid="{00000000-0005-0000-0000-00000C000000}"/>
    <cellStyle name="Currency 3 2 2 2 2" xfId="68" xr:uid="{00000000-0005-0000-0000-00000D000000}"/>
    <cellStyle name="Currency 3 2 2 3" xfId="51" xr:uid="{00000000-0005-0000-0000-00000E000000}"/>
    <cellStyle name="Currency 3 2 3" xfId="27" xr:uid="{00000000-0005-0000-0000-00000F000000}"/>
    <cellStyle name="Currency 3 2 3 2" xfId="61" xr:uid="{00000000-0005-0000-0000-000010000000}"/>
    <cellStyle name="Currency 3 2 4" xfId="44" xr:uid="{00000000-0005-0000-0000-000011000000}"/>
    <cellStyle name="Currency 3 3" xfId="14" xr:uid="{00000000-0005-0000-0000-000012000000}"/>
    <cellStyle name="Currency 3 3 2" xfId="31" xr:uid="{00000000-0005-0000-0000-000013000000}"/>
    <cellStyle name="Currency 3 3 2 2" xfId="65" xr:uid="{00000000-0005-0000-0000-000014000000}"/>
    <cellStyle name="Currency 3 3 3" xfId="48" xr:uid="{00000000-0005-0000-0000-000015000000}"/>
    <cellStyle name="Currency 3 4" xfId="22" xr:uid="{00000000-0005-0000-0000-000016000000}"/>
    <cellStyle name="Currency 3 4 2" xfId="56" xr:uid="{00000000-0005-0000-0000-000017000000}"/>
    <cellStyle name="Currency 3 5" xfId="39" xr:uid="{00000000-0005-0000-0000-000018000000}"/>
    <cellStyle name="Currency 4" xfId="7" xr:uid="{00000000-0005-0000-0000-000019000000}"/>
    <cellStyle name="Currency 4 2" xfId="24" xr:uid="{00000000-0005-0000-0000-00001A000000}"/>
    <cellStyle name="Currency 4 2 2" xfId="58" xr:uid="{00000000-0005-0000-0000-00001B000000}"/>
    <cellStyle name="Currency 4 3" xfId="41" xr:uid="{00000000-0005-0000-0000-00001C000000}"/>
    <cellStyle name="Currency 5" xfId="12" xr:uid="{00000000-0005-0000-0000-00001D000000}"/>
    <cellStyle name="Currency 5 2" xfId="29" xr:uid="{00000000-0005-0000-0000-00001E000000}"/>
    <cellStyle name="Currency 5 2 2" xfId="63" xr:uid="{00000000-0005-0000-0000-00001F000000}"/>
    <cellStyle name="Currency 5 3" xfId="46" xr:uid="{00000000-0005-0000-0000-000020000000}"/>
    <cellStyle name="Currency 6" xfId="19" xr:uid="{00000000-0005-0000-0000-000021000000}"/>
    <cellStyle name="Currency 6 2" xfId="53" xr:uid="{00000000-0005-0000-0000-000022000000}"/>
    <cellStyle name="Currency 7" xfId="36" xr:uid="{00000000-0005-0000-0000-000023000000}"/>
    <cellStyle name="Normal" xfId="0" builtinId="0"/>
    <cellStyle name="Normal 2" xfId="4" xr:uid="{00000000-0005-0000-0000-000025000000}"/>
    <cellStyle name="Normal 2 2" xfId="9" xr:uid="{00000000-0005-0000-0000-000026000000}"/>
    <cellStyle name="Normal 2 2 2" xfId="16" xr:uid="{00000000-0005-0000-0000-000027000000}"/>
    <cellStyle name="Normal 2 2 2 2" xfId="33" xr:uid="{00000000-0005-0000-0000-000028000000}"/>
    <cellStyle name="Normal 2 2 2 2 2" xfId="67" xr:uid="{00000000-0005-0000-0000-000029000000}"/>
    <cellStyle name="Normal 2 2 2 3" xfId="50" xr:uid="{00000000-0005-0000-0000-00002A000000}"/>
    <cellStyle name="Normal 2 2 3" xfId="26" xr:uid="{00000000-0005-0000-0000-00002B000000}"/>
    <cellStyle name="Normal 2 2 3 2" xfId="60" xr:uid="{00000000-0005-0000-0000-00002C000000}"/>
    <cellStyle name="Normal 2 2 4" xfId="43" xr:uid="{00000000-0005-0000-0000-00002D000000}"/>
    <cellStyle name="Normal 2 3" xfId="13" xr:uid="{00000000-0005-0000-0000-00002E000000}"/>
    <cellStyle name="Normal 2 3 2" xfId="30" xr:uid="{00000000-0005-0000-0000-00002F000000}"/>
    <cellStyle name="Normal 2 3 2 2" xfId="64" xr:uid="{00000000-0005-0000-0000-000030000000}"/>
    <cellStyle name="Normal 2 3 3" xfId="47" xr:uid="{00000000-0005-0000-0000-000031000000}"/>
    <cellStyle name="Normal 2 4" xfId="21" xr:uid="{00000000-0005-0000-0000-000032000000}"/>
    <cellStyle name="Normal 2 4 2" xfId="55" xr:uid="{00000000-0005-0000-0000-000033000000}"/>
    <cellStyle name="Normal 2 5" xfId="38" xr:uid="{00000000-0005-0000-0000-000034000000}"/>
    <cellStyle name="Percent" xfId="2" builtinId="5"/>
    <cellStyle name="Percent 2" xfId="6" xr:uid="{00000000-0005-0000-0000-000036000000}"/>
    <cellStyle name="Percent 2 2" xfId="11" xr:uid="{00000000-0005-0000-0000-000037000000}"/>
    <cellStyle name="Percent 2 2 2" xfId="18" xr:uid="{00000000-0005-0000-0000-000038000000}"/>
    <cellStyle name="Percent 2 2 2 2" xfId="35" xr:uid="{00000000-0005-0000-0000-000039000000}"/>
    <cellStyle name="Percent 2 2 2 2 2" xfId="69" xr:uid="{00000000-0005-0000-0000-00003A000000}"/>
    <cellStyle name="Percent 2 2 2 3" xfId="52" xr:uid="{00000000-0005-0000-0000-00003B000000}"/>
    <cellStyle name="Percent 2 2 3" xfId="28" xr:uid="{00000000-0005-0000-0000-00003C000000}"/>
    <cellStyle name="Percent 2 2 3 2" xfId="62" xr:uid="{00000000-0005-0000-0000-00003D000000}"/>
    <cellStyle name="Percent 2 2 4" xfId="45" xr:uid="{00000000-0005-0000-0000-00003E000000}"/>
    <cellStyle name="Percent 2 3" xfId="15" xr:uid="{00000000-0005-0000-0000-00003F000000}"/>
    <cellStyle name="Percent 2 3 2" xfId="32" xr:uid="{00000000-0005-0000-0000-000040000000}"/>
    <cellStyle name="Percent 2 3 2 2" xfId="66" xr:uid="{00000000-0005-0000-0000-000041000000}"/>
    <cellStyle name="Percent 2 3 3" xfId="49" xr:uid="{00000000-0005-0000-0000-000042000000}"/>
    <cellStyle name="Percent 2 4" xfId="23" xr:uid="{00000000-0005-0000-0000-000043000000}"/>
    <cellStyle name="Percent 2 4 2" xfId="57" xr:uid="{00000000-0005-0000-0000-000044000000}"/>
    <cellStyle name="Percent 2 5" xfId="40" xr:uid="{00000000-0005-0000-0000-000045000000}"/>
  </cellStyles>
  <dxfs count="3">
    <dxf>
      <fill>
        <patternFill>
          <bgColor theme="7" tint="0.39994506668294322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:AC37"/>
  <sheetViews>
    <sheetView tabSelected="1" workbookViewId="0"/>
  </sheetViews>
  <sheetFormatPr defaultRowHeight="15" x14ac:dyDescent="0.25"/>
  <cols>
    <col min="1" max="1" width="11.28515625" style="73" customWidth="1"/>
    <col min="2" max="2" width="33" style="2" customWidth="1"/>
    <col min="3" max="6" width="12.42578125" style="2" customWidth="1"/>
    <col min="7" max="7" width="15.7109375" style="2" customWidth="1"/>
    <col min="8" max="8" width="9.140625" style="2"/>
    <col min="9" max="9" width="9.140625" style="13"/>
    <col min="10" max="16384" width="9.140625" style="2"/>
  </cols>
  <sheetData>
    <row r="1" spans="1:29" x14ac:dyDescent="0.25">
      <c r="A1" s="72" t="s">
        <v>0</v>
      </c>
      <c r="B1" s="8" t="s">
        <v>298</v>
      </c>
      <c r="C1" s="8"/>
      <c r="D1" s="8"/>
      <c r="E1" s="8"/>
      <c r="F1" s="8"/>
      <c r="G1" s="8"/>
      <c r="H1" s="8"/>
      <c r="I1" s="8"/>
      <c r="J1" s="20"/>
    </row>
    <row r="2" spans="1:29" x14ac:dyDescent="0.25">
      <c r="A2" s="72" t="s">
        <v>63</v>
      </c>
      <c r="B2" s="8" t="s">
        <v>327</v>
      </c>
      <c r="C2" s="8"/>
      <c r="D2" s="8"/>
      <c r="E2" s="8"/>
      <c r="F2" s="8"/>
      <c r="G2" s="8"/>
      <c r="H2" s="8"/>
      <c r="I2" s="8"/>
      <c r="J2" s="8"/>
    </row>
    <row r="3" spans="1:29" x14ac:dyDescent="0.25">
      <c r="A3" s="72" t="s">
        <v>1</v>
      </c>
      <c r="B3" s="8">
        <v>1234</v>
      </c>
      <c r="C3" s="8"/>
      <c r="D3" s="8"/>
      <c r="E3" s="8"/>
      <c r="F3" s="8"/>
      <c r="G3" s="8"/>
      <c r="H3" s="8"/>
      <c r="I3" s="8"/>
      <c r="J3" s="8"/>
    </row>
    <row r="4" spans="1:29" x14ac:dyDescent="0.25">
      <c r="I4" s="2"/>
    </row>
    <row r="5" spans="1:29" x14ac:dyDescent="0.25">
      <c r="A5" s="74" t="s">
        <v>32</v>
      </c>
      <c r="I5" s="2"/>
    </row>
    <row r="6" spans="1:29" x14ac:dyDescent="0.25">
      <c r="I6" s="2"/>
    </row>
    <row r="7" spans="1:29" s="5" customFormat="1" ht="30" x14ac:dyDescent="0.25">
      <c r="A7" s="75" t="s">
        <v>33</v>
      </c>
      <c r="B7" s="4" t="s">
        <v>34</v>
      </c>
      <c r="C7" s="4" t="s">
        <v>139</v>
      </c>
      <c r="D7" s="4" t="s">
        <v>227</v>
      </c>
      <c r="E7" s="4" t="s">
        <v>297</v>
      </c>
      <c r="F7" s="4" t="s">
        <v>199</v>
      </c>
      <c r="G7" s="4" t="s">
        <v>20</v>
      </c>
    </row>
    <row r="8" spans="1:29" x14ac:dyDescent="0.25">
      <c r="A8" s="76" t="s">
        <v>301</v>
      </c>
      <c r="B8" s="6" t="s">
        <v>244</v>
      </c>
      <c r="C8" s="13">
        <f>JobSummaryItemId1699</f>
        <v>1937.02400027771</v>
      </c>
      <c r="D8" s="13"/>
      <c r="E8" s="13">
        <f>JobSummaryItemId1668</f>
        <v>541.55520000000001</v>
      </c>
      <c r="F8" s="13"/>
      <c r="G8" s="22">
        <f t="shared" ref="G8:G34" si="0">SUM(C8:F8)</f>
        <v>2478.5792002777098</v>
      </c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</row>
    <row r="9" spans="1:29" x14ac:dyDescent="0.25">
      <c r="A9" s="76" t="s">
        <v>302</v>
      </c>
      <c r="B9" s="6" t="s">
        <v>246</v>
      </c>
      <c r="C9" s="13">
        <f>JobSummaryItemId1674</f>
        <v>1830.00320027771</v>
      </c>
      <c r="D9" s="13"/>
      <c r="E9" s="13">
        <f>JobSummaryItemId1667</f>
        <v>541.55520000000001</v>
      </c>
      <c r="F9" s="13"/>
      <c r="G9" s="22">
        <f t="shared" si="0"/>
        <v>2371.55840027771</v>
      </c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</row>
    <row r="10" spans="1:29" x14ac:dyDescent="0.25">
      <c r="A10" s="76" t="s">
        <v>303</v>
      </c>
      <c r="B10" s="6" t="s">
        <v>248</v>
      </c>
      <c r="C10" s="13">
        <f>JobSummaryItemId1671</f>
        <v>3635.1744011108399</v>
      </c>
      <c r="D10" s="13"/>
      <c r="E10" s="13">
        <f>JobSummaryItemId1672</f>
        <v>522.25279999999998</v>
      </c>
      <c r="F10" s="13"/>
      <c r="G10" s="22">
        <f t="shared" si="0"/>
        <v>4157.4272011108396</v>
      </c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</row>
    <row r="11" spans="1:29" x14ac:dyDescent="0.25">
      <c r="A11" s="76" t="s">
        <v>304</v>
      </c>
      <c r="B11" s="6" t="s">
        <v>250</v>
      </c>
      <c r="C11" s="13">
        <f>JobSummaryItemId1675</f>
        <v>4480.0832004432668</v>
      </c>
      <c r="D11" s="13"/>
      <c r="E11" s="13">
        <f>JobSummaryItemId1676</f>
        <v>522.25279999999998</v>
      </c>
      <c r="F11" s="13"/>
      <c r="G11" s="22">
        <f t="shared" si="0"/>
        <v>5002.336000443267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</row>
    <row r="12" spans="1:29" x14ac:dyDescent="0.25">
      <c r="A12" s="76" t="s">
        <v>305</v>
      </c>
      <c r="B12" s="6" t="s">
        <v>252</v>
      </c>
      <c r="C12" s="13">
        <f>JobSummaryItemId1684</f>
        <v>3135.9359997222891</v>
      </c>
      <c r="D12" s="13"/>
      <c r="E12" s="13">
        <f>JobSummaryItemId1681</f>
        <v>527.66719999999998</v>
      </c>
      <c r="F12" s="13"/>
      <c r="G12" s="22">
        <f t="shared" si="0"/>
        <v>3663.603199722289</v>
      </c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</row>
    <row r="13" spans="1:29" x14ac:dyDescent="0.25">
      <c r="A13" s="76" t="s">
        <v>306</v>
      </c>
      <c r="B13" s="6" t="s">
        <v>254</v>
      </c>
      <c r="C13" s="13">
        <f>JobSummaryItemId1700</f>
        <v>2240.7807999999995</v>
      </c>
      <c r="D13" s="13"/>
      <c r="E13" s="13">
        <f>JobSummaryItemId1688</f>
        <v>600.58879999999999</v>
      </c>
      <c r="F13" s="13"/>
      <c r="G13" s="22">
        <f t="shared" si="0"/>
        <v>2841.3695999999995</v>
      </c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</row>
    <row r="14" spans="1:29" x14ac:dyDescent="0.25">
      <c r="A14" s="76" t="s">
        <v>307</v>
      </c>
      <c r="B14" s="6" t="s">
        <v>256</v>
      </c>
      <c r="C14" s="13">
        <f>JobSummaryItemId1694</f>
        <v>2060.4416002777098</v>
      </c>
      <c r="D14" s="13"/>
      <c r="E14" s="13">
        <f>JobSummaryItemId1690</f>
        <v>600.58879999999999</v>
      </c>
      <c r="F14" s="13"/>
      <c r="G14" s="22">
        <f t="shared" si="0"/>
        <v>2661.0304002777098</v>
      </c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</row>
    <row r="15" spans="1:29" x14ac:dyDescent="0.25">
      <c r="A15" s="76" t="s">
        <v>322</v>
      </c>
      <c r="B15" s="6" t="s">
        <v>258</v>
      </c>
      <c r="C15" s="13">
        <f>JobSummaryItemId1698</f>
        <v>4364.4544005554199</v>
      </c>
      <c r="D15" s="13"/>
      <c r="E15" s="13">
        <f>JobSummaryItemId1697 + JobSummaryItemId1695</f>
        <v>1201.1776</v>
      </c>
      <c r="F15" s="13"/>
      <c r="G15" s="22">
        <f t="shared" si="0"/>
        <v>5565.6320005554198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</row>
    <row r="16" spans="1:29" x14ac:dyDescent="0.25">
      <c r="A16" s="76" t="s">
        <v>308</v>
      </c>
      <c r="B16" s="6" t="s">
        <v>260</v>
      </c>
      <c r="C16" s="13">
        <f>JobSummaryItemId1750</f>
        <v>3461.798401890564</v>
      </c>
      <c r="D16" s="13"/>
      <c r="E16" s="13">
        <f>JobSummaryItemId1747</f>
        <v>414.36159979171754</v>
      </c>
      <c r="F16" s="13"/>
      <c r="G16" s="22">
        <f t="shared" si="0"/>
        <v>3876.1600016822817</v>
      </c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</row>
    <row r="17" spans="1:29" x14ac:dyDescent="0.25">
      <c r="A17" s="76" t="s">
        <v>308</v>
      </c>
      <c r="B17" s="6" t="s">
        <v>262</v>
      </c>
      <c r="C17" s="13">
        <f>JobSummaryItemId1753</f>
        <v>4352.0511978851328</v>
      </c>
      <c r="D17" s="13"/>
      <c r="E17" s="13">
        <f>JobSummaryItemId1754</f>
        <v>398.42559979171756</v>
      </c>
      <c r="F17" s="13"/>
      <c r="G17" s="22">
        <f t="shared" si="0"/>
        <v>4750.4767976768508</v>
      </c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</row>
    <row r="18" spans="1:29" x14ac:dyDescent="0.25">
      <c r="A18" s="76" t="s">
        <v>309</v>
      </c>
      <c r="B18" s="6" t="s">
        <v>264</v>
      </c>
      <c r="C18" s="13">
        <f>JobSummaryItemId1756</f>
        <v>2080.7488000000003</v>
      </c>
      <c r="D18" s="13"/>
      <c r="E18" s="13">
        <f>JobSummaryItemId1758</f>
        <v>407.7695997917175</v>
      </c>
      <c r="F18" s="13"/>
      <c r="G18" s="22">
        <f t="shared" si="0"/>
        <v>2488.5183997917179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</row>
    <row r="19" spans="1:29" x14ac:dyDescent="0.25">
      <c r="A19" s="76" t="s">
        <v>310</v>
      </c>
      <c r="B19" s="6" t="s">
        <v>266</v>
      </c>
      <c r="C19" s="13">
        <f>JobSummaryItemId1764</f>
        <v>1895.7952</v>
      </c>
      <c r="D19" s="13"/>
      <c r="E19" s="13">
        <f>JobSummaryItemId1763</f>
        <v>407.7695997917175</v>
      </c>
      <c r="F19" s="13"/>
      <c r="G19" s="22">
        <f t="shared" si="0"/>
        <v>2303.5647997917176</v>
      </c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</row>
    <row r="20" spans="1:29" x14ac:dyDescent="0.25">
      <c r="A20" s="76" t="s">
        <v>323</v>
      </c>
      <c r="B20" s="6" t="s">
        <v>268</v>
      </c>
      <c r="C20" s="13">
        <f>JobSummaryItemId1768</f>
        <v>4032.3968005554211</v>
      </c>
      <c r="D20" s="13"/>
      <c r="E20" s="13">
        <f>JobSummaryItemId1766 + JobSummaryItemId1767</f>
        <v>815.53919958343499</v>
      </c>
      <c r="F20" s="13"/>
      <c r="G20" s="22">
        <f t="shared" si="0"/>
        <v>4847.9360001388559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</row>
    <row r="21" spans="1:29" x14ac:dyDescent="0.25">
      <c r="A21" s="76" t="s">
        <v>311</v>
      </c>
      <c r="B21" s="6" t="s">
        <v>270</v>
      </c>
      <c r="C21" s="13">
        <f>JobSummaryItemId1770</f>
        <v>4130.5855988891599</v>
      </c>
      <c r="D21" s="13"/>
      <c r="E21" s="13">
        <f>JobSummaryItemId1773</f>
        <v>527.66719999999998</v>
      </c>
      <c r="F21" s="13">
        <f>JobSummaryItemId1771</f>
        <v>508.21759972229006</v>
      </c>
      <c r="G21" s="22">
        <f t="shared" si="0"/>
        <v>5166.47039861145</v>
      </c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</row>
    <row r="22" spans="1:29" x14ac:dyDescent="0.25">
      <c r="A22" s="76" t="s">
        <v>312</v>
      </c>
      <c r="B22" s="6" t="s">
        <v>272</v>
      </c>
      <c r="C22" s="13">
        <f>JobSummaryItemId1777</f>
        <v>2848.0383994445801</v>
      </c>
      <c r="D22" s="13"/>
      <c r="E22" s="13"/>
      <c r="F22" s="13">
        <f>JobSummaryItemId1776</f>
        <v>889.52319996528627</v>
      </c>
      <c r="G22" s="22">
        <f t="shared" si="0"/>
        <v>3737.5615994098662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</row>
    <row r="23" spans="1:29" x14ac:dyDescent="0.25">
      <c r="A23" s="76" t="s">
        <v>324</v>
      </c>
      <c r="B23" s="6" t="s">
        <v>274</v>
      </c>
      <c r="C23" s="13">
        <f>JobSummaryItemId1781</f>
        <v>5468.4415999999992</v>
      </c>
      <c r="D23" s="13"/>
      <c r="E23" s="13"/>
      <c r="F23" s="13">
        <f>JobSummaryItemId1778 + JobSummaryItemId1780</f>
        <v>1779.0463999305725</v>
      </c>
      <c r="G23" s="22">
        <f t="shared" si="0"/>
        <v>7247.4879999305722</v>
      </c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29" x14ac:dyDescent="0.25">
      <c r="A24" s="76" t="s">
        <v>313</v>
      </c>
      <c r="B24" s="6" t="s">
        <v>276</v>
      </c>
      <c r="C24" s="13">
        <f>JobSummaryItemId1795</f>
        <v>3029.2096005554204</v>
      </c>
      <c r="D24" s="13"/>
      <c r="E24" s="13">
        <f>JobSummaryItemId1784</f>
        <v>508.73600027770999</v>
      </c>
      <c r="F24" s="13"/>
      <c r="G24" s="22">
        <f t="shared" si="0"/>
        <v>3537.9456008331304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29" x14ac:dyDescent="0.25">
      <c r="A25" s="76" t="s">
        <v>314</v>
      </c>
      <c r="B25" s="6" t="s">
        <v>278</v>
      </c>
      <c r="C25" s="13">
        <f>JobSummaryItemId1788</f>
        <v>2879.5264006675725</v>
      </c>
      <c r="D25" s="13"/>
      <c r="E25" s="13">
        <f>JobSummaryItemId1786</f>
        <v>508.73600027770999</v>
      </c>
      <c r="F25" s="13"/>
      <c r="G25" s="22">
        <f t="shared" si="0"/>
        <v>3388.2624009452825</v>
      </c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29" x14ac:dyDescent="0.25">
      <c r="A26" s="76" t="s">
        <v>325</v>
      </c>
      <c r="B26" s="6" t="s">
        <v>280</v>
      </c>
      <c r="C26" s="13">
        <f>JobSummaryItemId1792</f>
        <v>5883.2767973297123</v>
      </c>
      <c r="D26" s="13"/>
      <c r="E26" s="13">
        <f>JobSummaryItemId1791</f>
        <v>730.8288</v>
      </c>
      <c r="F26" s="13"/>
      <c r="G26" s="22">
        <f t="shared" si="0"/>
        <v>6614.1055973297125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  <row r="27" spans="1:29" x14ac:dyDescent="0.25">
      <c r="A27" s="76" t="s">
        <v>321</v>
      </c>
      <c r="B27" s="6" t="s">
        <v>282</v>
      </c>
      <c r="C27" s="13">
        <f>JobSummaryItemId1799</f>
        <v>4325.4784005554211</v>
      </c>
      <c r="D27" s="13"/>
      <c r="E27" s="13">
        <f>JobSummaryItemId1800</f>
        <v>527.66719999999998</v>
      </c>
      <c r="F27" s="13"/>
      <c r="G27" s="22">
        <f t="shared" si="0"/>
        <v>4853.145600555421</v>
      </c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</row>
    <row r="28" spans="1:29" x14ac:dyDescent="0.25">
      <c r="A28" s="76" t="s">
        <v>326</v>
      </c>
      <c r="B28" s="6" t="s">
        <v>284</v>
      </c>
      <c r="C28" s="13">
        <f>JobSummaryItemId1803</f>
        <v>4824.9792005554209</v>
      </c>
      <c r="D28" s="13"/>
      <c r="E28" s="13">
        <f>JobSummaryItemId1802</f>
        <v>527.66719999999998</v>
      </c>
      <c r="F28" s="13"/>
      <c r="G28" s="22">
        <f t="shared" si="0"/>
        <v>5352.6464005554208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</row>
    <row r="29" spans="1:29" x14ac:dyDescent="0.25">
      <c r="A29" s="76" t="s">
        <v>316</v>
      </c>
      <c r="B29" s="6" t="s">
        <v>286</v>
      </c>
      <c r="C29" s="13"/>
      <c r="D29" s="13">
        <f>JobSummaryItemId1819</f>
        <v>2424.3584000000001</v>
      </c>
      <c r="E29" s="13"/>
      <c r="F29" s="13"/>
      <c r="G29" s="22">
        <f t="shared" si="0"/>
        <v>2424.3584000000001</v>
      </c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</row>
    <row r="30" spans="1:29" x14ac:dyDescent="0.25">
      <c r="A30" s="76" t="s">
        <v>317</v>
      </c>
      <c r="B30" s="6" t="s">
        <v>288</v>
      </c>
      <c r="C30" s="13"/>
      <c r="D30" s="13">
        <f>JobSummaryItemId1810</f>
        <v>2981.4783981094361</v>
      </c>
      <c r="E30" s="13"/>
      <c r="F30" s="13"/>
      <c r="G30" s="22">
        <f t="shared" si="0"/>
        <v>2981.4783981094361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</row>
    <row r="31" spans="1:29" x14ac:dyDescent="0.25">
      <c r="A31" s="76" t="s">
        <v>318</v>
      </c>
      <c r="B31" s="6" t="s">
        <v>290</v>
      </c>
      <c r="C31" s="13"/>
      <c r="D31" s="13">
        <f>JobSummaryItemId1817</f>
        <v>3343.0655978851319</v>
      </c>
      <c r="E31" s="13"/>
      <c r="F31" s="13"/>
      <c r="G31" s="22">
        <f t="shared" si="0"/>
        <v>3343.0655978851319</v>
      </c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</row>
    <row r="32" spans="1:29" x14ac:dyDescent="0.25">
      <c r="A32" s="76" t="s">
        <v>319</v>
      </c>
      <c r="B32" s="6" t="s">
        <v>292</v>
      </c>
      <c r="C32" s="13"/>
      <c r="D32" s="13">
        <f>JobSummaryItemId1806</f>
        <v>1370.7519997222903</v>
      </c>
      <c r="E32" s="13"/>
      <c r="F32" s="13"/>
      <c r="G32" s="22">
        <f t="shared" si="0"/>
        <v>1370.7519997222903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</row>
    <row r="33" spans="1:29" x14ac:dyDescent="0.25">
      <c r="A33" s="76" t="s">
        <v>315</v>
      </c>
      <c r="B33" s="6" t="s">
        <v>294</v>
      </c>
      <c r="C33" s="13"/>
      <c r="D33" s="13">
        <f>JobSummaryItemId1812</f>
        <v>2497.9328000000005</v>
      </c>
      <c r="E33" s="13"/>
      <c r="F33" s="13"/>
      <c r="G33" s="22">
        <f t="shared" si="0"/>
        <v>2497.9328000000005</v>
      </c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</row>
    <row r="34" spans="1:29" x14ac:dyDescent="0.25">
      <c r="A34" s="76" t="s">
        <v>320</v>
      </c>
      <c r="B34" s="6" t="s">
        <v>296</v>
      </c>
      <c r="C34" s="13"/>
      <c r="D34" s="13">
        <f>JobSummaryItemId1815</f>
        <v>3416.6399978851318</v>
      </c>
      <c r="E34" s="13"/>
      <c r="F34" s="13"/>
      <c r="G34" s="22">
        <f t="shared" si="0"/>
        <v>3416.6399978851318</v>
      </c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</row>
    <row r="35" spans="1:29" x14ac:dyDescent="0.25">
      <c r="A35" s="76"/>
      <c r="B35" s="6"/>
      <c r="C35" s="13"/>
      <c r="D35" s="13"/>
      <c r="E35" s="13"/>
      <c r="F35" s="13"/>
      <c r="G35" s="22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</row>
    <row r="36" spans="1:29" x14ac:dyDescent="0.25">
      <c r="A36" s="76"/>
      <c r="B36" s="6"/>
      <c r="C36" s="13"/>
      <c r="D36" s="13"/>
      <c r="E36" s="13"/>
      <c r="F36" s="13"/>
      <c r="G36" s="22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</row>
    <row r="37" spans="1:29" ht="15.75" thickBot="1" x14ac:dyDescent="0.3">
      <c r="G37" s="21">
        <f>SUM(G8:G36)</f>
        <v>102940.04479351919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2F061-3EFE-45AE-9D19-160A3EBC6205}">
  <dimension ref="A1:G101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151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156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1.98</v>
      </c>
      <c r="C9" s="23"/>
      <c r="D9" s="26"/>
    </row>
    <row r="10" spans="1:7" x14ac:dyDescent="0.2">
      <c r="A10" s="23" t="s">
        <v>114</v>
      </c>
      <c r="B10" s="24">
        <v>1.8</v>
      </c>
      <c r="C10" s="23"/>
      <c r="D10" s="26"/>
    </row>
    <row r="11" spans="1:7" x14ac:dyDescent="0.2">
      <c r="A11" s="23" t="s">
        <v>115</v>
      </c>
      <c r="B11" s="24">
        <v>1.1000000000000001</v>
      </c>
      <c r="C11" s="23"/>
      <c r="D11" s="26"/>
    </row>
    <row r="12" spans="1:7" x14ac:dyDescent="0.2">
      <c r="A12" s="23" t="s">
        <v>116</v>
      </c>
      <c r="B12" s="24">
        <v>1.1000000000000001</v>
      </c>
      <c r="C12" s="23"/>
      <c r="D12" s="26"/>
    </row>
    <row r="13" spans="1:7" x14ac:dyDescent="0.2">
      <c r="A13" s="23" t="s">
        <v>117</v>
      </c>
      <c r="B13" s="24">
        <v>0.9</v>
      </c>
      <c r="C13" s="23"/>
      <c r="D13" s="26"/>
    </row>
    <row r="14" spans="1:7" x14ac:dyDescent="0.2">
      <c r="A14" s="23" t="s">
        <v>153</v>
      </c>
      <c r="B14" s="24">
        <v>2.2000000000000002</v>
      </c>
      <c r="C14" s="23"/>
      <c r="D14" s="26"/>
    </row>
    <row r="15" spans="1:7" x14ac:dyDescent="0.2">
      <c r="A15" s="23" t="s">
        <v>119</v>
      </c>
      <c r="B15" s="24">
        <v>600</v>
      </c>
      <c r="C15" s="23"/>
      <c r="D15" s="26"/>
    </row>
    <row r="16" spans="1:7" x14ac:dyDescent="0.2">
      <c r="A16" s="23" t="s">
        <v>120</v>
      </c>
      <c r="B16" s="24">
        <v>35</v>
      </c>
      <c r="C16" s="23"/>
      <c r="D16" s="26"/>
    </row>
    <row r="17" spans="1:7" x14ac:dyDescent="0.2">
      <c r="A17" s="23"/>
      <c r="C17" s="23"/>
      <c r="D17" s="26"/>
    </row>
    <row r="18" spans="1:7" x14ac:dyDescent="0.2">
      <c r="A18" s="23"/>
      <c r="B18" s="27"/>
      <c r="C18" s="23"/>
      <c r="D18" s="26"/>
    </row>
    <row r="19" spans="1:7" x14ac:dyDescent="0.2">
      <c r="A19" s="28" t="s">
        <v>10</v>
      </c>
      <c r="B19" s="28"/>
      <c r="C19" s="28"/>
      <c r="D19" s="28"/>
      <c r="E19" s="28"/>
      <c r="F19" s="28"/>
      <c r="G19" s="28"/>
    </row>
    <row r="20" spans="1:7" x14ac:dyDescent="0.2">
      <c r="A20" s="28"/>
      <c r="B20" s="28"/>
      <c r="C20" s="28"/>
      <c r="D20" s="28"/>
      <c r="E20" s="28"/>
      <c r="F20" s="28"/>
      <c r="G20" s="28"/>
    </row>
    <row r="21" spans="1:7" x14ac:dyDescent="0.2">
      <c r="A21" s="29" t="s">
        <v>121</v>
      </c>
      <c r="B21" s="24" t="s">
        <v>122</v>
      </c>
      <c r="C21" s="29"/>
      <c r="D21" s="29"/>
      <c r="E21" s="29"/>
      <c r="F21" s="29"/>
    </row>
    <row r="22" spans="1:7" x14ac:dyDescent="0.2">
      <c r="A22" s="29" t="s">
        <v>123</v>
      </c>
      <c r="B22" s="24" t="s">
        <v>124</v>
      </c>
      <c r="C22" s="29"/>
      <c r="D22" s="29"/>
      <c r="E22" s="29"/>
      <c r="F22" s="29"/>
    </row>
    <row r="23" spans="1:7" x14ac:dyDescent="0.2">
      <c r="A23" s="29"/>
      <c r="B23" s="24" t="s">
        <v>154</v>
      </c>
      <c r="C23" s="29"/>
      <c r="D23" s="29"/>
      <c r="E23" s="29"/>
      <c r="F23" s="29"/>
    </row>
    <row r="24" spans="1:7" x14ac:dyDescent="0.2">
      <c r="A24" s="29" t="s">
        <v>126</v>
      </c>
      <c r="B24" s="24" t="s">
        <v>127</v>
      </c>
      <c r="C24" s="29"/>
      <c r="D24" s="29"/>
      <c r="E24" s="29"/>
      <c r="F24" s="29"/>
    </row>
    <row r="25" spans="1:7" x14ac:dyDescent="0.2">
      <c r="A25" s="29">
        <v>20</v>
      </c>
      <c r="B25" s="24" t="s">
        <v>67</v>
      </c>
      <c r="C25" s="29"/>
      <c r="D25" s="29"/>
      <c r="E25" s="29"/>
      <c r="F25" s="29"/>
    </row>
    <row r="26" spans="1:7" x14ac:dyDescent="0.2">
      <c r="A26" s="29" t="s">
        <v>129</v>
      </c>
      <c r="B26" s="24" t="s">
        <v>130</v>
      </c>
      <c r="C26" s="29"/>
      <c r="D26" s="29"/>
      <c r="E26" s="29"/>
      <c r="F26" s="29"/>
    </row>
    <row r="27" spans="1:7" x14ac:dyDescent="0.2">
      <c r="A27" s="29"/>
      <c r="B27" s="24" t="s">
        <v>131</v>
      </c>
      <c r="C27" s="29"/>
      <c r="D27" s="29"/>
      <c r="E27" s="29"/>
      <c r="F27" s="29"/>
    </row>
    <row r="28" spans="1:7" x14ac:dyDescent="0.2">
      <c r="A28" s="29" t="s">
        <v>132</v>
      </c>
      <c r="B28" s="24" t="s">
        <v>133</v>
      </c>
      <c r="C28" s="29"/>
      <c r="D28" s="29"/>
      <c r="E28" s="29"/>
      <c r="F28" s="29"/>
    </row>
    <row r="29" spans="1:7" x14ac:dyDescent="0.2">
      <c r="A29" s="29" t="s">
        <v>134</v>
      </c>
      <c r="B29" s="24" t="s">
        <v>135</v>
      </c>
      <c r="C29" s="29"/>
      <c r="D29" s="29"/>
      <c r="E29" s="29"/>
      <c r="F29" s="29"/>
    </row>
    <row r="30" spans="1:7" x14ac:dyDescent="0.2">
      <c r="A30" s="29" t="s">
        <v>143</v>
      </c>
      <c r="B30" s="24" t="s">
        <v>155</v>
      </c>
      <c r="C30" s="29"/>
      <c r="D30" s="29"/>
      <c r="E30" s="29"/>
      <c r="F30" s="29"/>
    </row>
    <row r="31" spans="1:7" x14ac:dyDescent="0.2">
      <c r="A31" s="29"/>
      <c r="C31" s="29"/>
      <c r="D31" s="29"/>
      <c r="E31" s="29"/>
      <c r="F31" s="29"/>
    </row>
    <row r="32" spans="1:7" x14ac:dyDescent="0.2">
      <c r="A32" s="29"/>
      <c r="C32" s="29"/>
      <c r="D32" s="29"/>
      <c r="E32" s="29"/>
      <c r="F32" s="29"/>
    </row>
    <row r="33" spans="1:7" x14ac:dyDescent="0.2">
      <c r="A33" s="25" t="s">
        <v>14</v>
      </c>
      <c r="B33" s="25"/>
      <c r="C33" s="25"/>
      <c r="D33" s="25"/>
      <c r="E33" s="25"/>
      <c r="F33" s="25"/>
      <c r="G33" s="25"/>
    </row>
    <row r="35" spans="1:7" s="29" customFormat="1" x14ac:dyDescent="0.2">
      <c r="A35" s="29" t="s">
        <v>25</v>
      </c>
      <c r="B35" s="29" t="s">
        <v>38</v>
      </c>
      <c r="C35" s="29" t="s">
        <v>2</v>
      </c>
      <c r="D35" s="30" t="s">
        <v>9</v>
      </c>
      <c r="E35" s="30" t="s">
        <v>3</v>
      </c>
      <c r="F35" s="30" t="s">
        <v>4</v>
      </c>
      <c r="G35" s="30" t="s">
        <v>16</v>
      </c>
    </row>
    <row r="36" spans="1:7" x14ac:dyDescent="0.2">
      <c r="A36" s="24" t="str">
        <f>MatP8815C0Colour</f>
        <v>Not Specified</v>
      </c>
      <c r="B36" s="24" t="str">
        <f>IF(MatP8815C0Code=0,"",MatP8815C0Code)</f>
        <v/>
      </c>
      <c r="C36" s="24" t="str">
        <f>MatP8815C0Desc</f>
        <v>TLE Tile</v>
      </c>
      <c r="D36" s="31">
        <v>25</v>
      </c>
      <c r="E36" s="32">
        <f>MatP8815C0Price</f>
        <v>1.2</v>
      </c>
      <c r="F36" s="33" t="str">
        <f>MatP8815C0PerText</f>
        <v>Each</v>
      </c>
      <c r="G36" s="32">
        <f t="shared" ref="G36:G51" si="0">D36 * E36</f>
        <v>30</v>
      </c>
    </row>
    <row r="37" spans="1:7" x14ac:dyDescent="0.2">
      <c r="A37" s="24" t="str">
        <f>MatP8870C0Colour</f>
        <v>Not Specified</v>
      </c>
      <c r="B37" s="24" t="str">
        <f>IF(MatP8870C0Code=0,"",MatP8870C0Code)</f>
        <v/>
      </c>
      <c r="C37" s="24" t="str">
        <f>MatP8870C0Desc</f>
        <v>Ridge Tile (450mm)</v>
      </c>
      <c r="D37" s="31">
        <v>2</v>
      </c>
      <c r="E37" s="32">
        <f>MatP8870C0Price</f>
        <v>3.64</v>
      </c>
      <c r="F37" s="33" t="str">
        <f>MatP8870C0PerText</f>
        <v>Each</v>
      </c>
      <c r="G37" s="32">
        <f t="shared" si="0"/>
        <v>7.28</v>
      </c>
    </row>
    <row r="38" spans="1:7" x14ac:dyDescent="0.2">
      <c r="A38" s="24" t="str">
        <f>MatP9008C0Colour</f>
        <v>Not Specified</v>
      </c>
      <c r="B38" s="24" t="str">
        <f>IF(MatP9008C0Code=0,"",MatP9008C0Code)</f>
        <v/>
      </c>
      <c r="C38" s="24" t="str">
        <f>MatP9008C0Desc</f>
        <v>Battens (50mm x 25mm)</v>
      </c>
      <c r="D38" s="31">
        <v>9</v>
      </c>
      <c r="E38" s="32">
        <f>MatP9008C0Price</f>
        <v>0.9</v>
      </c>
      <c r="F38" s="33" t="str">
        <f>MatP9008C0PerText</f>
        <v>Metre</v>
      </c>
      <c r="G38" s="32">
        <f t="shared" si="0"/>
        <v>8.1</v>
      </c>
    </row>
    <row r="39" spans="1:7" x14ac:dyDescent="0.2">
      <c r="A39" s="24" t="str">
        <f>MatP8879C15Colour</f>
        <v>Not Specified</v>
      </c>
      <c r="B39" s="24" t="str">
        <f>IF(MatP8879C15Code=0,"",MatP8879C15Code)</f>
        <v/>
      </c>
      <c r="C39" s="24" t="str">
        <f>MatP8879C15Desc</f>
        <v>Universal Dry Ridge/Hip System (6m)</v>
      </c>
      <c r="D39" s="31">
        <v>1</v>
      </c>
      <c r="E39" s="32">
        <f>MatP8879C15Price</f>
        <v>28.09</v>
      </c>
      <c r="F39" s="33" t="str">
        <f>MatP8879C15PerText</f>
        <v>Pack</v>
      </c>
      <c r="G39" s="32">
        <f t="shared" si="0"/>
        <v>28.09</v>
      </c>
    </row>
    <row r="40" spans="1:7" x14ac:dyDescent="0.2">
      <c r="A40" s="24" t="str">
        <f>MatP8857C0Colour</f>
        <v>Not Specified</v>
      </c>
      <c r="B40" s="24" t="str">
        <f>IF(MatP8857C0Code=0,"",MatP8857C0Code)</f>
        <v/>
      </c>
      <c r="C40" s="24" t="str">
        <f>MatP8857C0Desc</f>
        <v>LH Uni-Fix Dry Verge Unit</v>
      </c>
      <c r="D40" s="31">
        <v>8</v>
      </c>
      <c r="E40" s="32">
        <f>MatP8857C0Price</f>
        <v>1.1000000000000001</v>
      </c>
      <c r="F40" s="33" t="str">
        <f>MatP8857C0PerText</f>
        <v>Each</v>
      </c>
      <c r="G40" s="32">
        <f t="shared" si="0"/>
        <v>8.8000000000000007</v>
      </c>
    </row>
    <row r="41" spans="1:7" x14ac:dyDescent="0.2">
      <c r="A41" s="24" t="str">
        <f>MatP8869C0Colour</f>
        <v>Not Specified</v>
      </c>
      <c r="B41" s="24" t="str">
        <f>IF(MatP8869C0Code=0,"",MatP8869C0Code)</f>
        <v/>
      </c>
      <c r="C41" s="24" t="str">
        <f>MatP8869C0Desc</f>
        <v>RH Uni-Fix Dry Verge Unit</v>
      </c>
      <c r="D41" s="31">
        <v>8</v>
      </c>
      <c r="E41" s="32">
        <f>MatP8869C0Price</f>
        <v>1.1000000000000001</v>
      </c>
      <c r="F41" s="33" t="str">
        <f>MatP8869C0PerText</f>
        <v>Each</v>
      </c>
      <c r="G41" s="32">
        <f t="shared" si="0"/>
        <v>8.8000000000000007</v>
      </c>
    </row>
    <row r="42" spans="1:7" x14ac:dyDescent="0.2">
      <c r="A42" s="24" t="str">
        <f>MatP8877C0Colour</f>
        <v>Not Specified</v>
      </c>
      <c r="B42" s="24" t="str">
        <f>IF(MatP8877C0Code=0,"",MatP8877C0Code)</f>
        <v/>
      </c>
      <c r="C42" s="24" t="str">
        <f>MatP8877C0Desc</f>
        <v>Uni-Fix Universal Ridge End Cap</v>
      </c>
      <c r="D42" s="31">
        <v>1</v>
      </c>
      <c r="E42" s="32">
        <f>MatP8877C0Price</f>
        <v>1.6</v>
      </c>
      <c r="F42" s="33" t="str">
        <f>MatP8877C0PerText</f>
        <v>Each</v>
      </c>
      <c r="G42" s="32">
        <f t="shared" si="0"/>
        <v>1.6</v>
      </c>
    </row>
    <row r="43" spans="1:7" x14ac:dyDescent="0.2">
      <c r="A43" s="24" t="str">
        <f>MatP8830C20Colour</f>
        <v>Not Specified</v>
      </c>
      <c r="B43" s="24" t="str">
        <f>IF(MatP8830C20Code=0,"",MatP8830C20Code)</f>
        <v/>
      </c>
      <c r="C43" s="24" t="str">
        <f>MatP8830C20Desc</f>
        <v>Dry Verge Starter Unit</v>
      </c>
      <c r="D43" s="31">
        <v>2</v>
      </c>
      <c r="E43" s="32">
        <f>MatP8830C20Price</f>
        <v>1.51</v>
      </c>
      <c r="F43" s="33" t="str">
        <f>MatP8830C20PerText</f>
        <v>Each</v>
      </c>
      <c r="G43" s="32">
        <f t="shared" si="0"/>
        <v>3.02</v>
      </c>
    </row>
    <row r="44" spans="1:7" x14ac:dyDescent="0.2">
      <c r="A44" s="24" t="str">
        <f>MatP8281C0Colour</f>
        <v>Not Specified</v>
      </c>
      <c r="B44" s="24" t="str">
        <f>IF(MatP8281C0Code=0,"",MatP8281C0Code)</f>
        <v/>
      </c>
      <c r="C44" s="24" t="str">
        <f>MatP8281C0Desc</f>
        <v>Generic Eave Insulation (1m)</v>
      </c>
      <c r="D44" s="31">
        <v>2</v>
      </c>
      <c r="E44" s="32">
        <f>MatP8281C0Price</f>
        <v>5</v>
      </c>
      <c r="F44" s="33" t="str">
        <f>MatP8281C0PerText</f>
        <v>Each</v>
      </c>
      <c r="G44" s="32">
        <f t="shared" si="0"/>
        <v>10</v>
      </c>
    </row>
    <row r="45" spans="1:7" x14ac:dyDescent="0.2">
      <c r="A45" s="24" t="str">
        <f>MatP8874C20Colour</f>
        <v>Not Specified</v>
      </c>
      <c r="B45" s="24" t="str">
        <f>IF(MatP8874C20Code=0,"",MatP8874C20Code)</f>
        <v/>
      </c>
      <c r="C45" s="24" t="str">
        <f>MatP8874C20Desc</f>
        <v>Underlay Support Tray (1.5m)</v>
      </c>
      <c r="D45" s="31">
        <v>2</v>
      </c>
      <c r="E45" s="32">
        <f>MatP8874C20Price</f>
        <v>1.5</v>
      </c>
      <c r="F45" s="33" t="str">
        <f>MatP8874C20PerText</f>
        <v>Each</v>
      </c>
      <c r="G45" s="32">
        <f t="shared" si="0"/>
        <v>3</v>
      </c>
    </row>
    <row r="46" spans="1:7" x14ac:dyDescent="0.2">
      <c r="A46" s="24" t="str">
        <f>MatP8826C539Colour</f>
        <v>Not Specified</v>
      </c>
      <c r="B46" s="24" t="str">
        <f>IF(MatP8826C539Code=0,"",MatP8826C539Code)</f>
        <v/>
      </c>
      <c r="C46" s="24" t="str">
        <f>MatP8826C539Desc</f>
        <v>Metal Batten End Clips</v>
      </c>
      <c r="D46" s="31">
        <v>8</v>
      </c>
      <c r="E46" s="32">
        <f>MatP8826C539Price</f>
        <v>0.28000000000000003</v>
      </c>
      <c r="F46" s="33" t="str">
        <f>MatP8826C539PerText</f>
        <v>Each</v>
      </c>
      <c r="G46" s="32">
        <f t="shared" si="0"/>
        <v>2.2400000000000002</v>
      </c>
    </row>
    <row r="47" spans="1:7" x14ac:dyDescent="0.2">
      <c r="A47" s="24" t="str">
        <f>MatP8831C539Colour</f>
        <v>Not Specified</v>
      </c>
      <c r="B47" s="24" t="str">
        <f>IF(MatP8831C539Code=0,"",MatP8831C539Code)</f>
        <v/>
      </c>
      <c r="C47" s="24" t="str">
        <f>MatP8831C539Desc</f>
        <v>Eave Clip</v>
      </c>
      <c r="D47" s="31">
        <v>6</v>
      </c>
      <c r="E47" s="32">
        <f>MatP8831C539Price</f>
        <v>0.1</v>
      </c>
      <c r="F47" s="33" t="str">
        <f>MatP8831C539PerText</f>
        <v>Each</v>
      </c>
      <c r="G47" s="32">
        <f t="shared" si="0"/>
        <v>0.60000000000000009</v>
      </c>
    </row>
    <row r="48" spans="1:7" x14ac:dyDescent="0.2">
      <c r="A48" s="24" t="str">
        <f>MatP9318C0Colour</f>
        <v>Not Specified</v>
      </c>
      <c r="B48" s="24" t="str">
        <f>IF(MatP9318C0Code=0,"",MatP9318C0Code)</f>
        <v/>
      </c>
      <c r="C48" s="24" t="str">
        <f>MatP9318C0Desc</f>
        <v>45mm x 3.35mm Aluminium Nails</v>
      </c>
      <c r="D48" s="31">
        <v>1</v>
      </c>
      <c r="E48" s="32">
        <f>MatP9318C0Price</f>
        <v>7.28</v>
      </c>
      <c r="F48" s="33" t="str">
        <f>MatP9318C0PerText</f>
        <v>Kg</v>
      </c>
      <c r="G48" s="32">
        <f t="shared" si="0"/>
        <v>7.28</v>
      </c>
    </row>
    <row r="49" spans="1:7" x14ac:dyDescent="0.2">
      <c r="A49" s="24" t="str">
        <f>MatP9100C0Colour</f>
        <v>Not Specified</v>
      </c>
      <c r="B49" s="24" t="str">
        <f>IF(MatP9100C0Code=0,"",MatP9100C0Code)</f>
        <v/>
      </c>
      <c r="C49" s="24" t="str">
        <f>MatP9100C0Desc</f>
        <v>Batten Nails - 65mm x 3.35mm Galvanised</v>
      </c>
      <c r="D49" s="31">
        <v>1</v>
      </c>
      <c r="E49" s="32">
        <f>MatP9100C0Price</f>
        <v>4.5</v>
      </c>
      <c r="F49" s="33" t="str">
        <f>MatP9100C0PerText</f>
        <v>Kg</v>
      </c>
      <c r="G49" s="32">
        <f t="shared" si="0"/>
        <v>4.5</v>
      </c>
    </row>
    <row r="50" spans="1:7" x14ac:dyDescent="0.2">
      <c r="A50" s="24" t="str">
        <f>MatP9066C92Colour</f>
        <v>Not Specified</v>
      </c>
      <c r="B50" s="24" t="str">
        <f>IF(MatP9066C92Code=0,"",MatP9066C92Code)</f>
        <v/>
      </c>
      <c r="C50" s="24" t="str">
        <f>MatP9066C92Desc</f>
        <v>Lead Code 4 - 300mm (6m)</v>
      </c>
      <c r="D50" s="31">
        <v>3</v>
      </c>
      <c r="E50" s="32">
        <f>MatP9066C92Price</f>
        <v>15.21</v>
      </c>
      <c r="F50" s="33" t="str">
        <f>MatP9066C92PerText</f>
        <v>Metre</v>
      </c>
      <c r="G50" s="32">
        <f t="shared" si="0"/>
        <v>45.63</v>
      </c>
    </row>
    <row r="51" spans="1:7" x14ac:dyDescent="0.2">
      <c r="A51" s="24" t="str">
        <f>MatLeadRidgeApexSaddleColour</f>
        <v>Not Specified</v>
      </c>
      <c r="B51" s="24" t="str">
        <f>IF(MatLeadRidgeApexSaddleCode=0,"",MatLeadRidgeApexSaddleCode)</f>
        <v/>
      </c>
      <c r="C51" s="24" t="str">
        <f>MatLeadRidgeApexSaddleDesc</f>
        <v>Lead Ridge Apex Saddle</v>
      </c>
      <c r="D51" s="31">
        <v>1</v>
      </c>
      <c r="E51" s="32">
        <f>MatLeadRidgeApexSaddlePrice</f>
        <v>15</v>
      </c>
      <c r="F51" s="33" t="str">
        <f>MatLeadRidgeApexSaddlePerText</f>
        <v>Each</v>
      </c>
      <c r="G51" s="32">
        <f t="shared" si="0"/>
        <v>15</v>
      </c>
    </row>
    <row r="52" spans="1:7" x14ac:dyDescent="0.2">
      <c r="D52" s="31"/>
      <c r="E52" s="32"/>
      <c r="F52" s="33"/>
      <c r="G52" s="32"/>
    </row>
    <row r="53" spans="1:7" x14ac:dyDescent="0.2">
      <c r="F53" s="34" t="s">
        <v>5</v>
      </c>
      <c r="G53" s="35">
        <f>SUM(G36:G52)</f>
        <v>183.93999999999997</v>
      </c>
    </row>
    <row r="54" spans="1:7" x14ac:dyDescent="0.2">
      <c r="G54" s="34"/>
    </row>
    <row r="55" spans="1:7" x14ac:dyDescent="0.2">
      <c r="A55" s="25" t="s">
        <v>15</v>
      </c>
      <c r="B55" s="25"/>
      <c r="D55" s="25"/>
      <c r="E55" s="25"/>
      <c r="F55" s="25"/>
      <c r="G55" s="25"/>
    </row>
    <row r="57" spans="1:7" x14ac:dyDescent="0.2">
      <c r="A57" s="102" t="s">
        <v>6</v>
      </c>
      <c r="B57" s="102"/>
      <c r="C57" s="102"/>
      <c r="D57" s="34" t="s">
        <v>7</v>
      </c>
      <c r="E57" s="34" t="s">
        <v>9</v>
      </c>
      <c r="F57" s="34" t="s">
        <v>8</v>
      </c>
      <c r="G57" s="34" t="s">
        <v>16</v>
      </c>
    </row>
    <row r="58" spans="1:7" x14ac:dyDescent="0.2">
      <c r="A58" s="103" t="str">
        <f>LabP8815R6L1G1Desc</f>
        <v>Main Area</v>
      </c>
      <c r="B58" s="103"/>
      <c r="C58" s="103"/>
      <c r="D58" s="36">
        <f>LabP8815R6L1G1Rate</f>
        <v>9</v>
      </c>
      <c r="E58" s="37">
        <f>'CHE-Porch (Gable)'!Area</f>
        <v>1.98</v>
      </c>
      <c r="F58" s="27" t="str">
        <f xml:space="preserve"> "" &amp; LabP8815R6L1G1Per</f>
        <v>m²</v>
      </c>
      <c r="G58" s="36">
        <f t="shared" ref="G58:G64" si="1">D58 * E58</f>
        <v>17.82</v>
      </c>
    </row>
    <row r="59" spans="1:7" x14ac:dyDescent="0.2">
      <c r="A59" s="24" t="str">
        <f>LabP8815R0L1G2Desc</f>
        <v>Eave</v>
      </c>
      <c r="D59" s="36">
        <f>LabP8815R0L1G2Rate</f>
        <v>2.5</v>
      </c>
      <c r="E59" s="37">
        <f>'CHE-Porch (Gable)'!Eave</f>
        <v>1.8</v>
      </c>
      <c r="F59" s="27" t="str">
        <f xml:space="preserve"> "" &amp; LabP8815R0L1G2Per</f>
        <v>m</v>
      </c>
      <c r="G59" s="36">
        <f t="shared" si="1"/>
        <v>4.5</v>
      </c>
    </row>
    <row r="60" spans="1:7" x14ac:dyDescent="0.2">
      <c r="A60" s="24" t="str">
        <f>LabP8815R0L1G3Desc</f>
        <v>Verge</v>
      </c>
      <c r="D60" s="36">
        <f>LabP8815R0L1G3Rate</f>
        <v>2.5</v>
      </c>
      <c r="E60" s="37">
        <f>LeftVerge+RightVerge</f>
        <v>2.2000000000000002</v>
      </c>
      <c r="F60" s="27" t="str">
        <f xml:space="preserve"> "" &amp; LabP8815R0L1G3Per</f>
        <v>m</v>
      </c>
      <c r="G60" s="36">
        <f t="shared" si="1"/>
        <v>5.5</v>
      </c>
    </row>
    <row r="61" spans="1:7" x14ac:dyDescent="0.2">
      <c r="A61" s="24" t="str">
        <f>LabP8815R0L1G8Desc</f>
        <v>Duo Ridge</v>
      </c>
      <c r="D61" s="36">
        <f>LabP8815R0L1G8Rate</f>
        <v>2.5</v>
      </c>
      <c r="E61" s="37">
        <f>'CHE-Porch (Gable)'!DuoRidge</f>
        <v>0.9</v>
      </c>
      <c r="F61" s="27" t="str">
        <f xml:space="preserve"> "" &amp; LabP8815R0L1G8Per</f>
        <v>m</v>
      </c>
      <c r="G61" s="36">
        <f t="shared" si="1"/>
        <v>2.25</v>
      </c>
    </row>
    <row r="62" spans="1:7" x14ac:dyDescent="0.2">
      <c r="A62" s="24" t="str">
        <f>LabP8815R0L1G10Desc</f>
        <v>Abut Courses</v>
      </c>
      <c r="D62" s="36">
        <f>LabP8815R0L1G10Rate</f>
        <v>5</v>
      </c>
      <c r="E62" s="37">
        <f>'CHE-Porch (Gable)'!AbutCourses</f>
        <v>2.2000000000000002</v>
      </c>
      <c r="F62" s="27" t="str">
        <f xml:space="preserve"> "" &amp; LabP8815R0L1G10Per</f>
        <v>m</v>
      </c>
      <c r="G62" s="36">
        <f t="shared" si="1"/>
        <v>11</v>
      </c>
    </row>
    <row r="63" spans="1:7" x14ac:dyDescent="0.2">
      <c r="A63" s="24" t="str">
        <f>LabP8815R15L1G274Desc</f>
        <v>Step and Cover Flashing (Code 4)</v>
      </c>
      <c r="D63" s="36">
        <f>LabP8815R15L1G274Rate</f>
        <v>15</v>
      </c>
      <c r="E63" s="37">
        <v>2.2000000000000002</v>
      </c>
      <c r="F63" s="27" t="str">
        <f xml:space="preserve"> "" &amp; LabP8815R15L1G274Per</f>
        <v>m</v>
      </c>
      <c r="G63" s="36">
        <f t="shared" si="1"/>
        <v>33</v>
      </c>
    </row>
    <row r="64" spans="1:7" x14ac:dyDescent="0.2">
      <c r="A64" s="24" t="str">
        <f>LabP8815R150LabLabourforPorchesDesc</f>
        <v>Labour for Porches</v>
      </c>
      <c r="D64" s="36">
        <f>LabP8815R150LabLabourforPorchesRate</f>
        <v>150</v>
      </c>
      <c r="E64" s="37">
        <v>1</v>
      </c>
      <c r="F64" s="27" t="str">
        <f xml:space="preserve"> "" &amp; LabP8815R150LabLabourforPorchesPer</f>
        <v/>
      </c>
      <c r="G64" s="36">
        <f t="shared" si="1"/>
        <v>150</v>
      </c>
    </row>
    <row r="65" spans="1:7" x14ac:dyDescent="0.2">
      <c r="D65" s="36"/>
      <c r="E65" s="37"/>
      <c r="F65" s="27"/>
      <c r="G65" s="36"/>
    </row>
    <row r="66" spans="1:7" x14ac:dyDescent="0.2">
      <c r="A66" s="103"/>
      <c r="B66" s="103"/>
      <c r="C66" s="103"/>
      <c r="D66" s="36"/>
      <c r="E66" s="37"/>
      <c r="G66" s="36"/>
    </row>
    <row r="67" spans="1:7" x14ac:dyDescent="0.2">
      <c r="F67" s="34" t="s">
        <v>5</v>
      </c>
      <c r="G67" s="35">
        <f>SUM(G58:G66)</f>
        <v>224.07</v>
      </c>
    </row>
    <row r="71" spans="1:7" x14ac:dyDescent="0.2">
      <c r="A71" s="34"/>
      <c r="B71" s="38"/>
    </row>
    <row r="73" spans="1:7" x14ac:dyDescent="0.2">
      <c r="A73" s="34"/>
      <c r="B73" s="38"/>
    </row>
    <row r="75" spans="1:7" x14ac:dyDescent="0.2">
      <c r="A75" s="34"/>
      <c r="B75" s="38"/>
    </row>
    <row r="77" spans="1:7" x14ac:dyDescent="0.2">
      <c r="A77" s="34"/>
      <c r="B77" s="38"/>
    </row>
    <row r="80" spans="1:7" x14ac:dyDescent="0.2">
      <c r="A80" s="34"/>
      <c r="B80" s="38"/>
      <c r="C80" s="39"/>
    </row>
    <row r="82" spans="1:3" x14ac:dyDescent="0.2">
      <c r="A82" s="34"/>
      <c r="B82" s="38"/>
    </row>
    <row r="84" spans="1:3" x14ac:dyDescent="0.2">
      <c r="A84" s="34"/>
      <c r="B84" s="38"/>
      <c r="C84" s="39"/>
    </row>
    <row r="86" spans="1:3" x14ac:dyDescent="0.2">
      <c r="A86" s="34"/>
      <c r="B86" s="38"/>
    </row>
    <row r="88" spans="1:3" x14ac:dyDescent="0.2">
      <c r="A88" s="34"/>
      <c r="B88" s="38"/>
    </row>
    <row r="91" spans="1:3" x14ac:dyDescent="0.2">
      <c r="A91" s="34"/>
      <c r="B91" s="38"/>
    </row>
    <row r="93" spans="1:3" x14ac:dyDescent="0.2">
      <c r="A93" s="34"/>
      <c r="B93" s="38"/>
    </row>
    <row r="95" spans="1:3" x14ac:dyDescent="0.2">
      <c r="A95" s="34"/>
      <c r="B95" s="38"/>
      <c r="C95" s="39"/>
    </row>
    <row r="98" spans="1:3" x14ac:dyDescent="0.2">
      <c r="A98" s="34"/>
      <c r="B98" s="40"/>
      <c r="C98" s="23"/>
    </row>
    <row r="101" spans="1:3" x14ac:dyDescent="0.2">
      <c r="A101" s="39"/>
      <c r="B101" s="41"/>
    </row>
  </sheetData>
  <mergeCells count="5">
    <mergeCell ref="B4:F4"/>
    <mergeCell ref="B5:F5"/>
    <mergeCell ref="A57:C57"/>
    <mergeCell ref="A58:C58"/>
    <mergeCell ref="A66:C66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A79F7-2D16-4273-BCDC-7D1BF0C04590}">
  <dimension ref="A1:G107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163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139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92.24</v>
      </c>
      <c r="C9" s="23"/>
      <c r="D9" s="26"/>
    </row>
    <row r="10" spans="1:7" x14ac:dyDescent="0.2">
      <c r="A10" s="23" t="s">
        <v>114</v>
      </c>
      <c r="B10" s="24">
        <v>17.5</v>
      </c>
      <c r="C10" s="23"/>
      <c r="D10" s="26"/>
    </row>
    <row r="11" spans="1:7" x14ac:dyDescent="0.2">
      <c r="A11" s="23" t="s">
        <v>115</v>
      </c>
      <c r="B11" s="24">
        <v>11.66</v>
      </c>
      <c r="C11" s="23"/>
      <c r="D11" s="26"/>
    </row>
    <row r="12" spans="1:7" x14ac:dyDescent="0.2">
      <c r="A12" s="23" t="s">
        <v>116</v>
      </c>
      <c r="B12" s="24">
        <v>11.66</v>
      </c>
      <c r="C12" s="23"/>
      <c r="D12" s="26"/>
    </row>
    <row r="13" spans="1:7" x14ac:dyDescent="0.2">
      <c r="A13" s="23" t="s">
        <v>158</v>
      </c>
      <c r="B13" s="24">
        <v>9.6199999999999992</v>
      </c>
      <c r="C13" s="23"/>
      <c r="D13" s="26"/>
    </row>
    <row r="14" spans="1:7" x14ac:dyDescent="0.2">
      <c r="A14" s="23" t="s">
        <v>117</v>
      </c>
      <c r="B14" s="24">
        <v>14.85</v>
      </c>
      <c r="C14" s="23"/>
      <c r="D14" s="26"/>
    </row>
    <row r="15" spans="1:7" x14ac:dyDescent="0.2">
      <c r="A15" s="23" t="s">
        <v>119</v>
      </c>
      <c r="B15" s="24">
        <v>600</v>
      </c>
      <c r="C15" s="23"/>
      <c r="D15" s="26"/>
    </row>
    <row r="16" spans="1:7" x14ac:dyDescent="0.2">
      <c r="A16" s="23" t="s">
        <v>120</v>
      </c>
      <c r="B16" s="24">
        <v>35</v>
      </c>
      <c r="C16" s="23"/>
      <c r="D16" s="26"/>
    </row>
    <row r="17" spans="1:7" x14ac:dyDescent="0.2">
      <c r="A17" s="23"/>
      <c r="C17" s="23"/>
      <c r="D17" s="26"/>
    </row>
    <row r="18" spans="1:7" x14ac:dyDescent="0.2">
      <c r="A18" s="23"/>
      <c r="B18" s="27"/>
      <c r="C18" s="23"/>
      <c r="D18" s="26"/>
    </row>
    <row r="19" spans="1:7" x14ac:dyDescent="0.2">
      <c r="A19" s="28" t="s">
        <v>10</v>
      </c>
      <c r="B19" s="28"/>
      <c r="C19" s="28"/>
      <c r="D19" s="28"/>
      <c r="E19" s="28"/>
      <c r="F19" s="28"/>
      <c r="G19" s="28"/>
    </row>
    <row r="20" spans="1:7" x14ac:dyDescent="0.2">
      <c r="A20" s="28"/>
      <c r="B20" s="28"/>
      <c r="C20" s="28"/>
      <c r="D20" s="28"/>
      <c r="E20" s="28"/>
      <c r="F20" s="28"/>
      <c r="G20" s="28"/>
    </row>
    <row r="21" spans="1:7" x14ac:dyDescent="0.2">
      <c r="A21" s="29" t="s">
        <v>121</v>
      </c>
      <c r="B21" s="24" t="s">
        <v>122</v>
      </c>
      <c r="C21" s="29"/>
      <c r="D21" s="29"/>
      <c r="E21" s="29"/>
      <c r="F21" s="29"/>
    </row>
    <row r="22" spans="1:7" x14ac:dyDescent="0.2">
      <c r="A22" s="29" t="s">
        <v>123</v>
      </c>
      <c r="B22" s="24" t="s">
        <v>124</v>
      </c>
      <c r="C22" s="29"/>
      <c r="D22" s="29"/>
      <c r="E22" s="29"/>
      <c r="F22" s="29"/>
    </row>
    <row r="23" spans="1:7" x14ac:dyDescent="0.2">
      <c r="A23" s="29"/>
      <c r="B23" s="24" t="s">
        <v>125</v>
      </c>
      <c r="C23" s="29"/>
      <c r="D23" s="29"/>
      <c r="E23" s="29"/>
      <c r="F23" s="29"/>
    </row>
    <row r="24" spans="1:7" x14ac:dyDescent="0.2">
      <c r="A24" s="29" t="s">
        <v>126</v>
      </c>
      <c r="B24" s="24" t="s">
        <v>127</v>
      </c>
      <c r="C24" s="29"/>
      <c r="D24" s="29"/>
      <c r="E24" s="29"/>
      <c r="F24" s="29"/>
    </row>
    <row r="25" spans="1:7" x14ac:dyDescent="0.2">
      <c r="A25" s="29">
        <v>20</v>
      </c>
      <c r="B25" s="24" t="s">
        <v>128</v>
      </c>
      <c r="C25" s="29"/>
      <c r="D25" s="29"/>
      <c r="E25" s="29"/>
      <c r="F25" s="29"/>
    </row>
    <row r="26" spans="1:7" x14ac:dyDescent="0.2">
      <c r="A26" s="29" t="s">
        <v>129</v>
      </c>
      <c r="B26" s="24" t="s">
        <v>130</v>
      </c>
      <c r="C26" s="29"/>
      <c r="D26" s="29"/>
      <c r="E26" s="29"/>
      <c r="F26" s="29"/>
    </row>
    <row r="27" spans="1:7" x14ac:dyDescent="0.2">
      <c r="A27" s="29"/>
      <c r="B27" s="24" t="s">
        <v>159</v>
      </c>
      <c r="C27" s="29"/>
      <c r="D27" s="29"/>
      <c r="E27" s="29"/>
      <c r="F27" s="29"/>
    </row>
    <row r="28" spans="1:7" x14ac:dyDescent="0.2">
      <c r="A28" s="29" t="s">
        <v>160</v>
      </c>
      <c r="B28" s="24" t="s">
        <v>161</v>
      </c>
      <c r="C28" s="29"/>
      <c r="D28" s="29"/>
      <c r="E28" s="29"/>
      <c r="F28" s="29"/>
    </row>
    <row r="29" spans="1:7" x14ac:dyDescent="0.2">
      <c r="A29" s="29" t="s">
        <v>132</v>
      </c>
      <c r="B29" s="24" t="s">
        <v>133</v>
      </c>
      <c r="C29" s="29"/>
      <c r="D29" s="29"/>
      <c r="E29" s="29"/>
      <c r="F29" s="29"/>
    </row>
    <row r="30" spans="1:7" x14ac:dyDescent="0.2">
      <c r="A30" s="29" t="s">
        <v>134</v>
      </c>
      <c r="B30" s="24" t="s">
        <v>135</v>
      </c>
      <c r="C30" s="29"/>
      <c r="D30" s="29"/>
      <c r="E30" s="29"/>
      <c r="F30" s="29"/>
    </row>
    <row r="31" spans="1:7" x14ac:dyDescent="0.2">
      <c r="A31" s="29" t="s">
        <v>136</v>
      </c>
      <c r="B31" s="24" t="s">
        <v>137</v>
      </c>
      <c r="C31" s="29"/>
      <c r="D31" s="29"/>
      <c r="E31" s="29"/>
      <c r="F31" s="29"/>
    </row>
    <row r="32" spans="1:7" x14ac:dyDescent="0.2">
      <c r="A32" s="29"/>
      <c r="B32" s="24" t="s">
        <v>162</v>
      </c>
      <c r="C32" s="29"/>
      <c r="D32" s="29"/>
      <c r="E32" s="29"/>
      <c r="F32" s="29"/>
    </row>
    <row r="33" spans="1:7" x14ac:dyDescent="0.2">
      <c r="A33" s="29"/>
      <c r="C33" s="29"/>
      <c r="D33" s="29"/>
      <c r="E33" s="29"/>
      <c r="F33" s="29"/>
    </row>
    <row r="34" spans="1:7" x14ac:dyDescent="0.2">
      <c r="A34" s="29"/>
      <c r="C34" s="29"/>
      <c r="D34" s="29"/>
      <c r="E34" s="29"/>
      <c r="F34" s="29"/>
    </row>
    <row r="35" spans="1:7" x14ac:dyDescent="0.2">
      <c r="A35" s="25" t="s">
        <v>14</v>
      </c>
      <c r="B35" s="25"/>
      <c r="C35" s="25"/>
      <c r="D35" s="25"/>
      <c r="E35" s="25"/>
      <c r="F35" s="25"/>
      <c r="G35" s="25"/>
    </row>
    <row r="37" spans="1:7" s="29" customFormat="1" x14ac:dyDescent="0.2">
      <c r="A37" s="29" t="s">
        <v>25</v>
      </c>
      <c r="B37" s="29" t="s">
        <v>38</v>
      </c>
      <c r="C37" s="29" t="s">
        <v>2</v>
      </c>
      <c r="D37" s="30" t="s">
        <v>9</v>
      </c>
      <c r="E37" s="30" t="s">
        <v>3</v>
      </c>
      <c r="F37" s="30" t="s">
        <v>4</v>
      </c>
      <c r="G37" s="30" t="s">
        <v>16</v>
      </c>
    </row>
    <row r="38" spans="1:7" x14ac:dyDescent="0.2">
      <c r="A38" s="24" t="str">
        <f>MatP8815C0Colour</f>
        <v>Not Specified</v>
      </c>
      <c r="B38" s="24" t="str">
        <f>IF(MatP8815C0Code=0,"",MatP8815C0Code)</f>
        <v/>
      </c>
      <c r="C38" s="24" t="str">
        <f>MatP8815C0Desc</f>
        <v>TLE Tile</v>
      </c>
      <c r="D38" s="31">
        <v>968</v>
      </c>
      <c r="E38" s="32">
        <f>MatP8815C0Price</f>
        <v>1.2</v>
      </c>
      <c r="F38" s="33" t="str">
        <f>MatP8815C0PerText</f>
        <v>Each</v>
      </c>
      <c r="G38" s="32">
        <f t="shared" ref="G38:G58" si="0">D38 * E38</f>
        <v>1161.5999999999999</v>
      </c>
    </row>
    <row r="39" spans="1:7" x14ac:dyDescent="0.2">
      <c r="A39" s="24" t="str">
        <f>MatP8870C0Colour</f>
        <v>Not Specified</v>
      </c>
      <c r="B39" s="24" t="str">
        <f>IF(MatP8870C0Code=0,"",MatP8870C0Code)</f>
        <v/>
      </c>
      <c r="C39" s="24" t="str">
        <f>MatP8870C0Desc</f>
        <v>Ridge Tile (450mm)</v>
      </c>
      <c r="D39" s="31">
        <v>34</v>
      </c>
      <c r="E39" s="32">
        <f>MatP8870C0Price</f>
        <v>3.64</v>
      </c>
      <c r="F39" s="33" t="str">
        <f>MatP8870C0PerText</f>
        <v>Each</v>
      </c>
      <c r="G39" s="32">
        <f t="shared" si="0"/>
        <v>123.76</v>
      </c>
    </row>
    <row r="40" spans="1:7" x14ac:dyDescent="0.2">
      <c r="A40" s="24" t="str">
        <f>MatP10135C0Colour</f>
        <v>Not Specified</v>
      </c>
      <c r="B40" s="24" t="str">
        <f>IF(MatP10135C0Code=0,"",MatP10135C0Code)</f>
        <v/>
      </c>
      <c r="C40" s="24" t="str">
        <f>MatP10135C0Desc</f>
        <v>VP300 Vapour Permeable Underlay (50m x 1m)</v>
      </c>
      <c r="D40" s="31">
        <v>2.9999999850988388</v>
      </c>
      <c r="E40" s="32">
        <f>MatP10135C0Price</f>
        <v>35</v>
      </c>
      <c r="F40" s="33" t="str">
        <f>MatP10135C0PerText</f>
        <v>Roll</v>
      </c>
      <c r="G40" s="32">
        <f t="shared" si="0"/>
        <v>104.99999947845936</v>
      </c>
    </row>
    <row r="41" spans="1:7" x14ac:dyDescent="0.2">
      <c r="A41" s="24" t="str">
        <f>MatP9008C0Colour</f>
        <v>Not Specified</v>
      </c>
      <c r="B41" s="24" t="str">
        <f>IF(MatP9008C0Code=0,"",MatP9008C0Code)</f>
        <v/>
      </c>
      <c r="C41" s="24" t="str">
        <f>MatP9008C0Desc</f>
        <v>Battens (50mm x 25mm)</v>
      </c>
      <c r="D41" s="31">
        <v>349</v>
      </c>
      <c r="E41" s="32">
        <f>MatP9008C0Price</f>
        <v>0.9</v>
      </c>
      <c r="F41" s="33" t="str">
        <f>MatP9008C0PerText</f>
        <v>Metre</v>
      </c>
      <c r="G41" s="32">
        <f t="shared" si="0"/>
        <v>314.10000000000002</v>
      </c>
    </row>
    <row r="42" spans="1:7" x14ac:dyDescent="0.2">
      <c r="A42" s="24" t="str">
        <f>MatP8879C15Colour</f>
        <v>Not Specified</v>
      </c>
      <c r="B42" s="24" t="str">
        <f>IF(MatP8879C15Code=0,"",MatP8879C15Code)</f>
        <v/>
      </c>
      <c r="C42" s="24" t="str">
        <f>MatP8879C15Desc</f>
        <v>Universal Dry Ridge/Hip System (6m)</v>
      </c>
      <c r="D42" s="31">
        <v>3</v>
      </c>
      <c r="E42" s="32">
        <f>MatP8879C15Price</f>
        <v>28.09</v>
      </c>
      <c r="F42" s="33" t="str">
        <f>MatP8879C15PerText</f>
        <v>Pack</v>
      </c>
      <c r="G42" s="32">
        <f t="shared" si="0"/>
        <v>84.27</v>
      </c>
    </row>
    <row r="43" spans="1:7" x14ac:dyDescent="0.2">
      <c r="A43" s="24" t="str">
        <f>MatP8857C0Colour</f>
        <v>Not Specified</v>
      </c>
      <c r="B43" s="24" t="str">
        <f>IF(MatP8857C0Code=0,"",MatP8857C0Code)</f>
        <v/>
      </c>
      <c r="C43" s="24" t="str">
        <f>MatP8857C0Desc</f>
        <v>LH Uni-Fix Dry Verge Unit</v>
      </c>
      <c r="D43" s="31">
        <v>70</v>
      </c>
      <c r="E43" s="32">
        <f>MatP8857C0Price</f>
        <v>1.1000000000000001</v>
      </c>
      <c r="F43" s="33" t="str">
        <f>MatP8857C0PerText</f>
        <v>Each</v>
      </c>
      <c r="G43" s="32">
        <f t="shared" si="0"/>
        <v>77</v>
      </c>
    </row>
    <row r="44" spans="1:7" x14ac:dyDescent="0.2">
      <c r="A44" s="24" t="str">
        <f>MatP8869C0Colour</f>
        <v>Not Specified</v>
      </c>
      <c r="B44" s="24" t="str">
        <f>IF(MatP8869C0Code=0,"",MatP8869C0Code)</f>
        <v/>
      </c>
      <c r="C44" s="24" t="str">
        <f>MatP8869C0Desc</f>
        <v>RH Uni-Fix Dry Verge Unit</v>
      </c>
      <c r="D44" s="31">
        <v>70</v>
      </c>
      <c r="E44" s="32">
        <f>MatP8869C0Price</f>
        <v>1.1000000000000001</v>
      </c>
      <c r="F44" s="33" t="str">
        <f>MatP8869C0PerText</f>
        <v>Each</v>
      </c>
      <c r="G44" s="32">
        <f t="shared" si="0"/>
        <v>77</v>
      </c>
    </row>
    <row r="45" spans="1:7" x14ac:dyDescent="0.2">
      <c r="A45" s="24" t="str">
        <f>MatP8877C0Colour</f>
        <v>Not Specified</v>
      </c>
      <c r="B45" s="24" t="str">
        <f>IF(MatP8877C0Code=0,"",MatP8877C0Code)</f>
        <v/>
      </c>
      <c r="C45" s="24" t="str">
        <f>MatP8877C0Desc</f>
        <v>Uni-Fix Universal Ridge End Cap</v>
      </c>
      <c r="D45" s="31">
        <v>3</v>
      </c>
      <c r="E45" s="32">
        <f>MatP8877C0Price</f>
        <v>1.6</v>
      </c>
      <c r="F45" s="33" t="str">
        <f>MatP8877C0PerText</f>
        <v>Each</v>
      </c>
      <c r="G45" s="32">
        <f t="shared" si="0"/>
        <v>4.8000000000000007</v>
      </c>
    </row>
    <row r="46" spans="1:7" x14ac:dyDescent="0.2">
      <c r="A46" s="24" t="str">
        <f>MatP8830C20Colour</f>
        <v>Not Specified</v>
      </c>
      <c r="B46" s="24" t="str">
        <f>IF(MatP8830C20Code=0,"",MatP8830C20Code)</f>
        <v/>
      </c>
      <c r="C46" s="24" t="str">
        <f>MatP8830C20Desc</f>
        <v>Dry Verge Starter Unit</v>
      </c>
      <c r="D46" s="31">
        <v>5</v>
      </c>
      <c r="E46" s="32">
        <f>MatP8830C20Price</f>
        <v>1.51</v>
      </c>
      <c r="F46" s="33" t="str">
        <f>MatP8830C20PerText</f>
        <v>Each</v>
      </c>
      <c r="G46" s="32">
        <f t="shared" si="0"/>
        <v>7.55</v>
      </c>
    </row>
    <row r="47" spans="1:7" x14ac:dyDescent="0.2">
      <c r="A47" s="24" t="str">
        <f>MatP8820C20Colour</f>
        <v>Not Specified</v>
      </c>
      <c r="B47" s="24" t="str">
        <f>IF(MatP8820C20Code=0,"",MatP8820C20Code)</f>
        <v/>
      </c>
      <c r="C47" s="24" t="str">
        <f>MatP8820C20Desc</f>
        <v>10mm Over Fascia Vent (1m)</v>
      </c>
      <c r="D47" s="31">
        <v>18</v>
      </c>
      <c r="E47" s="32">
        <f>MatP8820C20Price</f>
        <v>1.7</v>
      </c>
      <c r="F47" s="33" t="str">
        <f>MatP8820C20PerText</f>
        <v>Each</v>
      </c>
      <c r="G47" s="32">
        <f t="shared" si="0"/>
        <v>30.599999999999998</v>
      </c>
    </row>
    <row r="48" spans="1:7" x14ac:dyDescent="0.2">
      <c r="A48" s="24" t="str">
        <f>MatP8281C0Colour</f>
        <v>Not Specified</v>
      </c>
      <c r="B48" s="24" t="str">
        <f>IF(MatP8281C0Code=0,"",MatP8281C0Code)</f>
        <v/>
      </c>
      <c r="C48" s="24" t="str">
        <f>MatP8281C0Desc</f>
        <v>Generic Eave Insulation (1m)</v>
      </c>
      <c r="D48" s="31">
        <v>18</v>
      </c>
      <c r="E48" s="32">
        <f>MatP8281C0Price</f>
        <v>5</v>
      </c>
      <c r="F48" s="33" t="str">
        <f>MatP8281C0PerText</f>
        <v>Each</v>
      </c>
      <c r="G48" s="32">
        <f t="shared" si="0"/>
        <v>90</v>
      </c>
    </row>
    <row r="49" spans="1:7" x14ac:dyDescent="0.2">
      <c r="A49" s="24" t="str">
        <f>MatP8866C20Colour</f>
        <v>Not Specified</v>
      </c>
      <c r="B49" s="24" t="str">
        <f>IF(MatP8866C20Code=0,"",MatP8866C20Code)</f>
        <v/>
      </c>
      <c r="C49" s="24" t="str">
        <f>MatP8866C20Desc</f>
        <v>Rafter Roll (6m x 600mm)</v>
      </c>
      <c r="D49" s="31">
        <v>3</v>
      </c>
      <c r="E49" s="32">
        <f>MatP8866C20Price</f>
        <v>9.5</v>
      </c>
      <c r="F49" s="33" t="str">
        <f>MatP8866C20PerText</f>
        <v>Each</v>
      </c>
      <c r="G49" s="32">
        <f t="shared" si="0"/>
        <v>28.5</v>
      </c>
    </row>
    <row r="50" spans="1:7" x14ac:dyDescent="0.2">
      <c r="A50" s="24" t="str">
        <f>MatP8874C20Colour</f>
        <v>Not Specified</v>
      </c>
      <c r="B50" s="24" t="str">
        <f>IF(MatP8874C20Code=0,"",MatP8874C20Code)</f>
        <v/>
      </c>
      <c r="C50" s="24" t="str">
        <f>MatP8874C20Desc</f>
        <v>Underlay Support Tray (1.5m)</v>
      </c>
      <c r="D50" s="31">
        <v>12</v>
      </c>
      <c r="E50" s="32">
        <f>MatP8874C20Price</f>
        <v>1.5</v>
      </c>
      <c r="F50" s="33" t="str">
        <f>MatP8874C20PerText</f>
        <v>Each</v>
      </c>
      <c r="G50" s="32">
        <f t="shared" si="0"/>
        <v>18</v>
      </c>
    </row>
    <row r="51" spans="1:7" x14ac:dyDescent="0.2">
      <c r="A51" s="24" t="str">
        <f>MatP8838C92Colour</f>
        <v>Not Specified</v>
      </c>
      <c r="B51" s="24" t="str">
        <f>IF(MatP8838C92Code=0,"",MatP8838C92Code)</f>
        <v/>
      </c>
      <c r="C51" s="24" t="str">
        <f>MatP8838C92Desc</f>
        <v>GRP Dry Fix Valley Trough - Over Batten Fix (3m x 400mm x 70mm)</v>
      </c>
      <c r="D51" s="31">
        <v>4</v>
      </c>
      <c r="E51" s="32">
        <f>MatP8838C92Price</f>
        <v>32.5</v>
      </c>
      <c r="F51" s="33" t="str">
        <f>MatP8838C92PerText</f>
        <v>Each</v>
      </c>
      <c r="G51" s="32">
        <f t="shared" si="0"/>
        <v>130</v>
      </c>
    </row>
    <row r="52" spans="1:7" x14ac:dyDescent="0.2">
      <c r="A52" s="24" t="str">
        <f>MatP8872C539Colour</f>
        <v>Not Specified</v>
      </c>
      <c r="B52" s="24" t="str">
        <f>IF(MatP8872C539Code=0,"",MatP8872C539Code)</f>
        <v/>
      </c>
      <c r="C52" s="24" t="str">
        <f>MatP8872C539Desc</f>
        <v>Sidelock Tile Clips (TLE)</v>
      </c>
      <c r="D52" s="31">
        <v>333</v>
      </c>
      <c r="E52" s="32">
        <f>MatP8872C539Price</f>
        <v>7.0000000000000007E-2</v>
      </c>
      <c r="F52" s="33" t="str">
        <f>MatP8872C539PerText</f>
        <v>Each</v>
      </c>
      <c r="G52" s="32">
        <f t="shared" si="0"/>
        <v>23.310000000000002</v>
      </c>
    </row>
    <row r="53" spans="1:7" x14ac:dyDescent="0.2">
      <c r="A53" s="24" t="str">
        <f>MatP8826C539Colour</f>
        <v>Not Specified</v>
      </c>
      <c r="B53" s="24" t="str">
        <f>IF(MatP8826C539Code=0,"",MatP8826C539Code)</f>
        <v/>
      </c>
      <c r="C53" s="24" t="str">
        <f>MatP8826C539Desc</f>
        <v>Metal Batten End Clips</v>
      </c>
      <c r="D53" s="31">
        <v>70</v>
      </c>
      <c r="E53" s="32">
        <f>MatP8826C539Price</f>
        <v>0.28000000000000003</v>
      </c>
      <c r="F53" s="33" t="str">
        <f>MatP8826C539PerText</f>
        <v>Each</v>
      </c>
      <c r="G53" s="32">
        <f t="shared" si="0"/>
        <v>19.600000000000001</v>
      </c>
    </row>
    <row r="54" spans="1:7" x14ac:dyDescent="0.2">
      <c r="A54" s="24" t="str">
        <f>MatP8831C539Colour</f>
        <v>Not Specified</v>
      </c>
      <c r="B54" s="24" t="str">
        <f>IF(MatP8831C539Code=0,"",MatP8831C539Code)</f>
        <v/>
      </c>
      <c r="C54" s="24" t="str">
        <f>MatP8831C539Desc</f>
        <v>Eave Clip</v>
      </c>
      <c r="D54" s="31">
        <v>60</v>
      </c>
      <c r="E54" s="32">
        <f>MatP8831C539Price</f>
        <v>0.1</v>
      </c>
      <c r="F54" s="33" t="str">
        <f>MatP8831C539PerText</f>
        <v>Each</v>
      </c>
      <c r="G54" s="32">
        <f t="shared" si="0"/>
        <v>6</v>
      </c>
    </row>
    <row r="55" spans="1:7" x14ac:dyDescent="0.2">
      <c r="A55" s="24" t="str">
        <f>MatP9318C0Colour</f>
        <v>Not Specified</v>
      </c>
      <c r="B55" s="24" t="str">
        <f>IF(MatP9318C0Code=0,"",MatP9318C0Code)</f>
        <v/>
      </c>
      <c r="C55" s="24" t="str">
        <f>MatP9318C0Desc</f>
        <v>45mm x 3.35mm Aluminium Nails</v>
      </c>
      <c r="D55" s="31">
        <v>3.0000001192092896</v>
      </c>
      <c r="E55" s="32">
        <f>MatP9318C0Price</f>
        <v>7.28</v>
      </c>
      <c r="F55" s="33" t="str">
        <f>MatP9318C0PerText</f>
        <v>Kg</v>
      </c>
      <c r="G55" s="32">
        <f t="shared" si="0"/>
        <v>21.840000867843628</v>
      </c>
    </row>
    <row r="56" spans="1:7" x14ac:dyDescent="0.2">
      <c r="A56" s="24" t="str">
        <f>MatP9100C0Colour</f>
        <v>Not Specified</v>
      </c>
      <c r="B56" s="24" t="str">
        <f>IF(MatP9100C0Code=0,"",MatP9100C0Code)</f>
        <v/>
      </c>
      <c r="C56" s="24" t="str">
        <f>MatP9100C0Desc</f>
        <v>Batten Nails - 65mm x 3.35mm Galvanised</v>
      </c>
      <c r="D56" s="31">
        <v>3</v>
      </c>
      <c r="E56" s="32">
        <f>MatP9100C0Price</f>
        <v>4.5</v>
      </c>
      <c r="F56" s="33" t="str">
        <f>MatP9100C0PerText</f>
        <v>Kg</v>
      </c>
      <c r="G56" s="32">
        <f t="shared" si="0"/>
        <v>13.5</v>
      </c>
    </row>
    <row r="57" spans="1:7" x14ac:dyDescent="0.2">
      <c r="A57" s="24" t="str">
        <f>MatLeadValleySaddleColour</f>
        <v>Not Specified</v>
      </c>
      <c r="B57" s="24" t="str">
        <f>IF(MatLeadValleySaddleCode=0,"",MatLeadValleySaddleCode)</f>
        <v/>
      </c>
      <c r="C57" s="24" t="str">
        <f>MatLeadValleySaddleDesc</f>
        <v>Lead Valley Saddle</v>
      </c>
      <c r="D57" s="31">
        <v>1</v>
      </c>
      <c r="E57" s="32">
        <f>MatLeadValleySaddlePrice</f>
        <v>15</v>
      </c>
      <c r="F57" s="33" t="str">
        <f>MatLeadValleySaddlePerText</f>
        <v>Each</v>
      </c>
      <c r="G57" s="32">
        <f t="shared" si="0"/>
        <v>15</v>
      </c>
    </row>
    <row r="58" spans="1:7" x14ac:dyDescent="0.2">
      <c r="A58" s="24" t="str">
        <f>MatLeadSlateColour</f>
        <v>Not Specified</v>
      </c>
      <c r="B58" s="24" t="str">
        <f>IF(MatLeadSlateCode=0,"",MatLeadSlateCode)</f>
        <v/>
      </c>
      <c r="C58" s="24" t="str">
        <f>MatLeadSlateDesc</f>
        <v>Lead Slate</v>
      </c>
      <c r="D58" s="31">
        <v>1</v>
      </c>
      <c r="E58" s="32">
        <f>MatLeadSlatePrice</f>
        <v>15</v>
      </c>
      <c r="F58" s="33" t="str">
        <f>MatLeadSlatePerText</f>
        <v>Each</v>
      </c>
      <c r="G58" s="32">
        <f t="shared" si="0"/>
        <v>15</v>
      </c>
    </row>
    <row r="59" spans="1:7" x14ac:dyDescent="0.2">
      <c r="D59" s="31"/>
      <c r="E59" s="32"/>
      <c r="F59" s="33"/>
      <c r="G59" s="32"/>
    </row>
    <row r="60" spans="1:7" x14ac:dyDescent="0.2">
      <c r="F60" s="34" t="s">
        <v>5</v>
      </c>
      <c r="G60" s="35">
        <f>SUM(G38:G59)</f>
        <v>2366.4300003463027</v>
      </c>
    </row>
    <row r="61" spans="1:7" x14ac:dyDescent="0.2">
      <c r="G61" s="34"/>
    </row>
    <row r="62" spans="1:7" x14ac:dyDescent="0.2">
      <c r="A62" s="25" t="s">
        <v>15</v>
      </c>
      <c r="B62" s="25"/>
      <c r="D62" s="25"/>
      <c r="E62" s="25"/>
      <c r="F62" s="25"/>
      <c r="G62" s="25"/>
    </row>
    <row r="64" spans="1:7" x14ac:dyDescent="0.2">
      <c r="A64" s="102" t="s">
        <v>6</v>
      </c>
      <c r="B64" s="102"/>
      <c r="C64" s="102"/>
      <c r="D64" s="34" t="s">
        <v>7</v>
      </c>
      <c r="E64" s="34" t="s">
        <v>9</v>
      </c>
      <c r="F64" s="34" t="s">
        <v>8</v>
      </c>
      <c r="G64" s="34" t="s">
        <v>16</v>
      </c>
    </row>
    <row r="65" spans="1:7" x14ac:dyDescent="0.2">
      <c r="A65" s="103" t="str">
        <f>LabP8815R6L1G1Desc</f>
        <v>Main Area</v>
      </c>
      <c r="B65" s="103"/>
      <c r="C65" s="103"/>
      <c r="D65" s="36">
        <f>LabP8815R6L1G1Rate</f>
        <v>9</v>
      </c>
      <c r="E65" s="37">
        <f>'CLN-Main Roof'!Area</f>
        <v>92.24</v>
      </c>
      <c r="F65" s="27" t="str">
        <f xml:space="preserve"> "" &amp; LabP8815R6L1G1Per</f>
        <v>m²</v>
      </c>
      <c r="G65" s="36">
        <f t="shared" ref="G65:G70" si="1">D65 * E65</f>
        <v>830.16</v>
      </c>
    </row>
    <row r="66" spans="1:7" x14ac:dyDescent="0.2">
      <c r="A66" s="24" t="str">
        <f>LabP8815R0L1G2Desc</f>
        <v>Eave</v>
      </c>
      <c r="D66" s="36">
        <f>LabP8815R0L1G2Rate</f>
        <v>2.5</v>
      </c>
      <c r="E66" s="37">
        <f>'CLN-Main Roof'!Eave</f>
        <v>17.5</v>
      </c>
      <c r="F66" s="27" t="str">
        <f xml:space="preserve"> "" &amp; LabP8815R0L1G2Per</f>
        <v>m</v>
      </c>
      <c r="G66" s="36">
        <f t="shared" si="1"/>
        <v>43.75</v>
      </c>
    </row>
    <row r="67" spans="1:7" x14ac:dyDescent="0.2">
      <c r="A67" s="24" t="str">
        <f>LabP8815R0L1G3Desc</f>
        <v>Verge</v>
      </c>
      <c r="D67" s="36">
        <f>LabP8815R0L1G3Rate</f>
        <v>2.5</v>
      </c>
      <c r="E67" s="37">
        <f>LeftVerge+RightVerge</f>
        <v>23.32</v>
      </c>
      <c r="F67" s="27" t="str">
        <f xml:space="preserve"> "" &amp; LabP8815R0L1G3Per</f>
        <v>m</v>
      </c>
      <c r="G67" s="36">
        <f t="shared" si="1"/>
        <v>58.3</v>
      </c>
    </row>
    <row r="68" spans="1:7" x14ac:dyDescent="0.2">
      <c r="A68" s="24" t="str">
        <f>LabP8815R15L1G7Desc</f>
        <v>Valley</v>
      </c>
      <c r="D68" s="36">
        <f>LabP8815R15L1G7Rate</f>
        <v>15</v>
      </c>
      <c r="E68" s="37">
        <f>'CLN-Main Roof'!Valley</f>
        <v>9.6199999999999992</v>
      </c>
      <c r="F68" s="27" t="str">
        <f xml:space="preserve"> "" &amp; LabP8815R15L1G7Per</f>
        <v>m</v>
      </c>
      <c r="G68" s="36">
        <f t="shared" si="1"/>
        <v>144.29999999999998</v>
      </c>
    </row>
    <row r="69" spans="1:7" x14ac:dyDescent="0.2">
      <c r="A69" s="24" t="str">
        <f>LabP8815R0L1G8Desc</f>
        <v>Duo Ridge</v>
      </c>
      <c r="D69" s="36">
        <f>LabP8815R0L1G8Rate</f>
        <v>2.5</v>
      </c>
      <c r="E69" s="37">
        <f>'CLN-Main Roof'!DuoRidge</f>
        <v>14.85</v>
      </c>
      <c r="F69" s="27" t="str">
        <f xml:space="preserve"> "" &amp; LabP8815R0L1G8Per</f>
        <v>m</v>
      </c>
      <c r="G69" s="36">
        <f t="shared" si="1"/>
        <v>37.125</v>
      </c>
    </row>
    <row r="70" spans="1:7" x14ac:dyDescent="0.2">
      <c r="A70" s="24" t="str">
        <f>LabP8815R0LabBoilerFlueDesc</f>
        <v>Boiler Flue</v>
      </c>
      <c r="D70" s="36">
        <f>LabP8815R0LabBoilerFlueRate</f>
        <v>20</v>
      </c>
      <c r="E70" s="37">
        <v>1</v>
      </c>
      <c r="F70" s="27" t="str">
        <f xml:space="preserve"> "" &amp; LabP8815R0LabBoilerFluePer</f>
        <v/>
      </c>
      <c r="G70" s="36">
        <f t="shared" si="1"/>
        <v>20</v>
      </c>
    </row>
    <row r="71" spans="1:7" x14ac:dyDescent="0.2">
      <c r="D71" s="36"/>
      <c r="E71" s="37"/>
      <c r="F71" s="27"/>
      <c r="G71" s="36"/>
    </row>
    <row r="72" spans="1:7" x14ac:dyDescent="0.2">
      <c r="A72" s="103"/>
      <c r="B72" s="103"/>
      <c r="C72" s="103"/>
      <c r="D72" s="36"/>
      <c r="E72" s="37"/>
      <c r="G72" s="36"/>
    </row>
    <row r="73" spans="1:7" x14ac:dyDescent="0.2">
      <c r="F73" s="34" t="s">
        <v>5</v>
      </c>
      <c r="G73" s="35">
        <f>SUM(G65:G72)</f>
        <v>1133.635</v>
      </c>
    </row>
    <row r="77" spans="1:7" x14ac:dyDescent="0.2">
      <c r="A77" s="34"/>
      <c r="B77" s="38"/>
    </row>
    <row r="79" spans="1:7" x14ac:dyDescent="0.2">
      <c r="A79" s="34"/>
      <c r="B79" s="38"/>
    </row>
    <row r="81" spans="1:3" x14ac:dyDescent="0.2">
      <c r="A81" s="34"/>
      <c r="B81" s="38"/>
    </row>
    <row r="83" spans="1:3" x14ac:dyDescent="0.2">
      <c r="A83" s="34"/>
      <c r="B83" s="38"/>
    </row>
    <row r="86" spans="1:3" x14ac:dyDescent="0.2">
      <c r="A86" s="34"/>
      <c r="B86" s="38"/>
      <c r="C86" s="39"/>
    </row>
    <row r="88" spans="1:3" x14ac:dyDescent="0.2">
      <c r="A88" s="34"/>
      <c r="B88" s="38"/>
    </row>
    <row r="90" spans="1:3" x14ac:dyDescent="0.2">
      <c r="A90" s="34"/>
      <c r="B90" s="38"/>
      <c r="C90" s="39"/>
    </row>
    <row r="92" spans="1:3" x14ac:dyDescent="0.2">
      <c r="A92" s="34"/>
      <c r="B92" s="38"/>
    </row>
    <row r="94" spans="1:3" x14ac:dyDescent="0.2">
      <c r="A94" s="34"/>
      <c r="B94" s="38"/>
    </row>
    <row r="97" spans="1:3" x14ac:dyDescent="0.2">
      <c r="A97" s="34"/>
      <c r="B97" s="38"/>
    </row>
    <row r="99" spans="1:3" x14ac:dyDescent="0.2">
      <c r="A99" s="34"/>
      <c r="B99" s="38"/>
    </row>
    <row r="101" spans="1:3" x14ac:dyDescent="0.2">
      <c r="A101" s="34"/>
      <c r="B101" s="38"/>
      <c r="C101" s="39"/>
    </row>
    <row r="104" spans="1:3" x14ac:dyDescent="0.2">
      <c r="A104" s="34"/>
      <c r="B104" s="40"/>
      <c r="C104" s="23"/>
    </row>
    <row r="107" spans="1:3" x14ac:dyDescent="0.2">
      <c r="A107" s="39"/>
      <c r="B107" s="41"/>
    </row>
  </sheetData>
  <mergeCells count="5">
    <mergeCell ref="B4:F4"/>
    <mergeCell ref="B5:F5"/>
    <mergeCell ref="A64:C64"/>
    <mergeCell ref="A65:C65"/>
    <mergeCell ref="A72:C72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94A49-5814-4BF1-ABE7-3FA640B7FA94}">
  <dimension ref="A1:G101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163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156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1.98</v>
      </c>
      <c r="C9" s="23"/>
      <c r="D9" s="26"/>
    </row>
    <row r="10" spans="1:7" x14ac:dyDescent="0.2">
      <c r="A10" s="23" t="s">
        <v>114</v>
      </c>
      <c r="B10" s="24">
        <v>1.8</v>
      </c>
      <c r="C10" s="23"/>
      <c r="D10" s="26"/>
    </row>
    <row r="11" spans="1:7" x14ac:dyDescent="0.2">
      <c r="A11" s="23" t="s">
        <v>115</v>
      </c>
      <c r="B11" s="24">
        <v>1.1000000000000001</v>
      </c>
      <c r="C11" s="23"/>
      <c r="D11" s="26"/>
    </row>
    <row r="12" spans="1:7" x14ac:dyDescent="0.2">
      <c r="A12" s="23" t="s">
        <v>116</v>
      </c>
      <c r="B12" s="24">
        <v>1.1000000000000001</v>
      </c>
      <c r="C12" s="23"/>
      <c r="D12" s="26"/>
    </row>
    <row r="13" spans="1:7" x14ac:dyDescent="0.2">
      <c r="A13" s="23" t="s">
        <v>117</v>
      </c>
      <c r="B13" s="24">
        <v>0.9</v>
      </c>
      <c r="C13" s="23"/>
      <c r="D13" s="26"/>
    </row>
    <row r="14" spans="1:7" x14ac:dyDescent="0.2">
      <c r="A14" s="23" t="s">
        <v>153</v>
      </c>
      <c r="B14" s="24">
        <v>2.2000000000000002</v>
      </c>
      <c r="C14" s="23"/>
      <c r="D14" s="26"/>
    </row>
    <row r="15" spans="1:7" x14ac:dyDescent="0.2">
      <c r="A15" s="23" t="s">
        <v>119</v>
      </c>
      <c r="B15" s="24">
        <v>600</v>
      </c>
      <c r="C15" s="23"/>
      <c r="D15" s="26"/>
    </row>
    <row r="16" spans="1:7" x14ac:dyDescent="0.2">
      <c r="A16" s="23" t="s">
        <v>120</v>
      </c>
      <c r="B16" s="24">
        <v>35</v>
      </c>
      <c r="C16" s="23"/>
      <c r="D16" s="26"/>
    </row>
    <row r="17" spans="1:7" x14ac:dyDescent="0.2">
      <c r="A17" s="23"/>
      <c r="C17" s="23"/>
      <c r="D17" s="26"/>
    </row>
    <row r="18" spans="1:7" x14ac:dyDescent="0.2">
      <c r="A18" s="23"/>
      <c r="B18" s="27"/>
      <c r="C18" s="23"/>
      <c r="D18" s="26"/>
    </row>
    <row r="19" spans="1:7" x14ac:dyDescent="0.2">
      <c r="A19" s="28" t="s">
        <v>10</v>
      </c>
      <c r="B19" s="28"/>
      <c r="C19" s="28"/>
      <c r="D19" s="28"/>
      <c r="E19" s="28"/>
      <c r="F19" s="28"/>
      <c r="G19" s="28"/>
    </row>
    <row r="20" spans="1:7" x14ac:dyDescent="0.2">
      <c r="A20" s="28"/>
      <c r="B20" s="28"/>
      <c r="C20" s="28"/>
      <c r="D20" s="28"/>
      <c r="E20" s="28"/>
      <c r="F20" s="28"/>
      <c r="G20" s="28"/>
    </row>
    <row r="21" spans="1:7" x14ac:dyDescent="0.2">
      <c r="A21" s="29" t="s">
        <v>121</v>
      </c>
      <c r="B21" s="24" t="s">
        <v>122</v>
      </c>
      <c r="C21" s="29"/>
      <c r="D21" s="29"/>
      <c r="E21" s="29"/>
      <c r="F21" s="29"/>
    </row>
    <row r="22" spans="1:7" x14ac:dyDescent="0.2">
      <c r="A22" s="29" t="s">
        <v>123</v>
      </c>
      <c r="B22" s="24" t="s">
        <v>124</v>
      </c>
      <c r="C22" s="29"/>
      <c r="D22" s="29"/>
      <c r="E22" s="29"/>
      <c r="F22" s="29"/>
    </row>
    <row r="23" spans="1:7" x14ac:dyDescent="0.2">
      <c r="A23" s="29"/>
      <c r="B23" s="24" t="s">
        <v>154</v>
      </c>
      <c r="C23" s="29"/>
      <c r="D23" s="29"/>
      <c r="E23" s="29"/>
      <c r="F23" s="29"/>
    </row>
    <row r="24" spans="1:7" x14ac:dyDescent="0.2">
      <c r="A24" s="29" t="s">
        <v>126</v>
      </c>
      <c r="B24" s="24" t="s">
        <v>127</v>
      </c>
      <c r="C24" s="29"/>
      <c r="D24" s="29"/>
      <c r="E24" s="29"/>
      <c r="F24" s="29"/>
    </row>
    <row r="25" spans="1:7" x14ac:dyDescent="0.2">
      <c r="A25" s="29">
        <v>20</v>
      </c>
      <c r="B25" s="24" t="s">
        <v>67</v>
      </c>
      <c r="C25" s="29"/>
      <c r="D25" s="29"/>
      <c r="E25" s="29"/>
      <c r="F25" s="29"/>
    </row>
    <row r="26" spans="1:7" x14ac:dyDescent="0.2">
      <c r="A26" s="29" t="s">
        <v>129</v>
      </c>
      <c r="B26" s="24" t="s">
        <v>130</v>
      </c>
      <c r="C26" s="29"/>
      <c r="D26" s="29"/>
      <c r="E26" s="29"/>
      <c r="F26" s="29"/>
    </row>
    <row r="27" spans="1:7" x14ac:dyDescent="0.2">
      <c r="A27" s="29"/>
      <c r="B27" s="24" t="s">
        <v>131</v>
      </c>
      <c r="C27" s="29"/>
      <c r="D27" s="29"/>
      <c r="E27" s="29"/>
      <c r="F27" s="29"/>
    </row>
    <row r="28" spans="1:7" x14ac:dyDescent="0.2">
      <c r="A28" s="29" t="s">
        <v>132</v>
      </c>
      <c r="B28" s="24" t="s">
        <v>133</v>
      </c>
      <c r="C28" s="29"/>
      <c r="D28" s="29"/>
      <c r="E28" s="29"/>
      <c r="F28" s="29"/>
    </row>
    <row r="29" spans="1:7" x14ac:dyDescent="0.2">
      <c r="A29" s="29" t="s">
        <v>134</v>
      </c>
      <c r="B29" s="24" t="s">
        <v>135</v>
      </c>
      <c r="C29" s="29"/>
      <c r="D29" s="29"/>
      <c r="E29" s="29"/>
      <c r="F29" s="29"/>
    </row>
    <row r="30" spans="1:7" x14ac:dyDescent="0.2">
      <c r="A30" s="29" t="s">
        <v>143</v>
      </c>
      <c r="B30" s="24" t="s">
        <v>155</v>
      </c>
      <c r="C30" s="29"/>
      <c r="D30" s="29"/>
      <c r="E30" s="29"/>
      <c r="F30" s="29"/>
    </row>
    <row r="31" spans="1:7" x14ac:dyDescent="0.2">
      <c r="A31" s="29"/>
      <c r="C31" s="29"/>
      <c r="D31" s="29"/>
      <c r="E31" s="29"/>
      <c r="F31" s="29"/>
    </row>
    <row r="32" spans="1:7" x14ac:dyDescent="0.2">
      <c r="A32" s="29"/>
      <c r="C32" s="29"/>
      <c r="D32" s="29"/>
      <c r="E32" s="29"/>
      <c r="F32" s="29"/>
    </row>
    <row r="33" spans="1:7" x14ac:dyDescent="0.2">
      <c r="A33" s="25" t="s">
        <v>14</v>
      </c>
      <c r="B33" s="25"/>
      <c r="C33" s="25"/>
      <c r="D33" s="25"/>
      <c r="E33" s="25"/>
      <c r="F33" s="25"/>
      <c r="G33" s="25"/>
    </row>
    <row r="35" spans="1:7" s="29" customFormat="1" x14ac:dyDescent="0.2">
      <c r="A35" s="29" t="s">
        <v>25</v>
      </c>
      <c r="B35" s="29" t="s">
        <v>38</v>
      </c>
      <c r="C35" s="29" t="s">
        <v>2</v>
      </c>
      <c r="D35" s="30" t="s">
        <v>9</v>
      </c>
      <c r="E35" s="30" t="s">
        <v>3</v>
      </c>
      <c r="F35" s="30" t="s">
        <v>4</v>
      </c>
      <c r="G35" s="30" t="s">
        <v>16</v>
      </c>
    </row>
    <row r="36" spans="1:7" x14ac:dyDescent="0.2">
      <c r="A36" s="24" t="str">
        <f>MatP8815C0Colour</f>
        <v>Not Specified</v>
      </c>
      <c r="B36" s="24" t="str">
        <f>IF(MatP8815C0Code=0,"",MatP8815C0Code)</f>
        <v/>
      </c>
      <c r="C36" s="24" t="str">
        <f>MatP8815C0Desc</f>
        <v>TLE Tile</v>
      </c>
      <c r="D36" s="31">
        <v>25</v>
      </c>
      <c r="E36" s="32">
        <f>MatP8815C0Price</f>
        <v>1.2</v>
      </c>
      <c r="F36" s="33" t="str">
        <f>MatP8815C0PerText</f>
        <v>Each</v>
      </c>
      <c r="G36" s="32">
        <f t="shared" ref="G36:G51" si="0">D36 * E36</f>
        <v>30</v>
      </c>
    </row>
    <row r="37" spans="1:7" x14ac:dyDescent="0.2">
      <c r="A37" s="24" t="str">
        <f>MatP8870C0Colour</f>
        <v>Not Specified</v>
      </c>
      <c r="B37" s="24" t="str">
        <f>IF(MatP8870C0Code=0,"",MatP8870C0Code)</f>
        <v/>
      </c>
      <c r="C37" s="24" t="str">
        <f>MatP8870C0Desc</f>
        <v>Ridge Tile (450mm)</v>
      </c>
      <c r="D37" s="31">
        <v>2</v>
      </c>
      <c r="E37" s="32">
        <f>MatP8870C0Price</f>
        <v>3.64</v>
      </c>
      <c r="F37" s="33" t="str">
        <f>MatP8870C0PerText</f>
        <v>Each</v>
      </c>
      <c r="G37" s="32">
        <f t="shared" si="0"/>
        <v>7.28</v>
      </c>
    </row>
    <row r="38" spans="1:7" x14ac:dyDescent="0.2">
      <c r="A38" s="24" t="str">
        <f>MatP9008C0Colour</f>
        <v>Not Specified</v>
      </c>
      <c r="B38" s="24" t="str">
        <f>IF(MatP9008C0Code=0,"",MatP9008C0Code)</f>
        <v/>
      </c>
      <c r="C38" s="24" t="str">
        <f>MatP9008C0Desc</f>
        <v>Battens (50mm x 25mm)</v>
      </c>
      <c r="D38" s="31">
        <v>9</v>
      </c>
      <c r="E38" s="32">
        <f>MatP9008C0Price</f>
        <v>0.9</v>
      </c>
      <c r="F38" s="33" t="str">
        <f>MatP9008C0PerText</f>
        <v>Metre</v>
      </c>
      <c r="G38" s="32">
        <f t="shared" si="0"/>
        <v>8.1</v>
      </c>
    </row>
    <row r="39" spans="1:7" x14ac:dyDescent="0.2">
      <c r="A39" s="24" t="str">
        <f>MatP8879C15Colour</f>
        <v>Not Specified</v>
      </c>
      <c r="B39" s="24" t="str">
        <f>IF(MatP8879C15Code=0,"",MatP8879C15Code)</f>
        <v/>
      </c>
      <c r="C39" s="24" t="str">
        <f>MatP8879C15Desc</f>
        <v>Universal Dry Ridge/Hip System (6m)</v>
      </c>
      <c r="D39" s="31">
        <v>1</v>
      </c>
      <c r="E39" s="32">
        <f>MatP8879C15Price</f>
        <v>28.09</v>
      </c>
      <c r="F39" s="33" t="str">
        <f>MatP8879C15PerText</f>
        <v>Pack</v>
      </c>
      <c r="G39" s="32">
        <f t="shared" si="0"/>
        <v>28.09</v>
      </c>
    </row>
    <row r="40" spans="1:7" x14ac:dyDescent="0.2">
      <c r="A40" s="24" t="str">
        <f>MatP8857C0Colour</f>
        <v>Not Specified</v>
      </c>
      <c r="B40" s="24" t="str">
        <f>IF(MatP8857C0Code=0,"",MatP8857C0Code)</f>
        <v/>
      </c>
      <c r="C40" s="24" t="str">
        <f>MatP8857C0Desc</f>
        <v>LH Uni-Fix Dry Verge Unit</v>
      </c>
      <c r="D40" s="31">
        <v>8</v>
      </c>
      <c r="E40" s="32">
        <f>MatP8857C0Price</f>
        <v>1.1000000000000001</v>
      </c>
      <c r="F40" s="33" t="str">
        <f>MatP8857C0PerText</f>
        <v>Each</v>
      </c>
      <c r="G40" s="32">
        <f t="shared" si="0"/>
        <v>8.8000000000000007</v>
      </c>
    </row>
    <row r="41" spans="1:7" x14ac:dyDescent="0.2">
      <c r="A41" s="24" t="str">
        <f>MatP8869C0Colour</f>
        <v>Not Specified</v>
      </c>
      <c r="B41" s="24" t="str">
        <f>IF(MatP8869C0Code=0,"",MatP8869C0Code)</f>
        <v/>
      </c>
      <c r="C41" s="24" t="str">
        <f>MatP8869C0Desc</f>
        <v>RH Uni-Fix Dry Verge Unit</v>
      </c>
      <c r="D41" s="31">
        <v>8</v>
      </c>
      <c r="E41" s="32">
        <f>MatP8869C0Price</f>
        <v>1.1000000000000001</v>
      </c>
      <c r="F41" s="33" t="str">
        <f>MatP8869C0PerText</f>
        <v>Each</v>
      </c>
      <c r="G41" s="32">
        <f t="shared" si="0"/>
        <v>8.8000000000000007</v>
      </c>
    </row>
    <row r="42" spans="1:7" x14ac:dyDescent="0.2">
      <c r="A42" s="24" t="str">
        <f>MatP8877C0Colour</f>
        <v>Not Specified</v>
      </c>
      <c r="B42" s="24" t="str">
        <f>IF(MatP8877C0Code=0,"",MatP8877C0Code)</f>
        <v/>
      </c>
      <c r="C42" s="24" t="str">
        <f>MatP8877C0Desc</f>
        <v>Uni-Fix Universal Ridge End Cap</v>
      </c>
      <c r="D42" s="31">
        <v>1</v>
      </c>
      <c r="E42" s="32">
        <f>MatP8877C0Price</f>
        <v>1.6</v>
      </c>
      <c r="F42" s="33" t="str">
        <f>MatP8877C0PerText</f>
        <v>Each</v>
      </c>
      <c r="G42" s="32">
        <f t="shared" si="0"/>
        <v>1.6</v>
      </c>
    </row>
    <row r="43" spans="1:7" x14ac:dyDescent="0.2">
      <c r="A43" s="24" t="str">
        <f>MatP8830C20Colour</f>
        <v>Not Specified</v>
      </c>
      <c r="B43" s="24" t="str">
        <f>IF(MatP8830C20Code=0,"",MatP8830C20Code)</f>
        <v/>
      </c>
      <c r="C43" s="24" t="str">
        <f>MatP8830C20Desc</f>
        <v>Dry Verge Starter Unit</v>
      </c>
      <c r="D43" s="31">
        <v>2</v>
      </c>
      <c r="E43" s="32">
        <f>MatP8830C20Price</f>
        <v>1.51</v>
      </c>
      <c r="F43" s="33" t="str">
        <f>MatP8830C20PerText</f>
        <v>Each</v>
      </c>
      <c r="G43" s="32">
        <f t="shared" si="0"/>
        <v>3.02</v>
      </c>
    </row>
    <row r="44" spans="1:7" x14ac:dyDescent="0.2">
      <c r="A44" s="24" t="str">
        <f>MatP8281C0Colour</f>
        <v>Not Specified</v>
      </c>
      <c r="B44" s="24" t="str">
        <f>IF(MatP8281C0Code=0,"",MatP8281C0Code)</f>
        <v/>
      </c>
      <c r="C44" s="24" t="str">
        <f>MatP8281C0Desc</f>
        <v>Generic Eave Insulation (1m)</v>
      </c>
      <c r="D44" s="31">
        <v>2</v>
      </c>
      <c r="E44" s="32">
        <f>MatP8281C0Price</f>
        <v>5</v>
      </c>
      <c r="F44" s="33" t="str">
        <f>MatP8281C0PerText</f>
        <v>Each</v>
      </c>
      <c r="G44" s="32">
        <f t="shared" si="0"/>
        <v>10</v>
      </c>
    </row>
    <row r="45" spans="1:7" x14ac:dyDescent="0.2">
      <c r="A45" s="24" t="str">
        <f>MatP8874C20Colour</f>
        <v>Not Specified</v>
      </c>
      <c r="B45" s="24" t="str">
        <f>IF(MatP8874C20Code=0,"",MatP8874C20Code)</f>
        <v/>
      </c>
      <c r="C45" s="24" t="str">
        <f>MatP8874C20Desc</f>
        <v>Underlay Support Tray (1.5m)</v>
      </c>
      <c r="D45" s="31">
        <v>2</v>
      </c>
      <c r="E45" s="32">
        <f>MatP8874C20Price</f>
        <v>1.5</v>
      </c>
      <c r="F45" s="33" t="str">
        <f>MatP8874C20PerText</f>
        <v>Each</v>
      </c>
      <c r="G45" s="32">
        <f t="shared" si="0"/>
        <v>3</v>
      </c>
    </row>
    <row r="46" spans="1:7" x14ac:dyDescent="0.2">
      <c r="A46" s="24" t="str">
        <f>MatP8826C539Colour</f>
        <v>Not Specified</v>
      </c>
      <c r="B46" s="24" t="str">
        <f>IF(MatP8826C539Code=0,"",MatP8826C539Code)</f>
        <v/>
      </c>
      <c r="C46" s="24" t="str">
        <f>MatP8826C539Desc</f>
        <v>Metal Batten End Clips</v>
      </c>
      <c r="D46" s="31">
        <v>8</v>
      </c>
      <c r="E46" s="32">
        <f>MatP8826C539Price</f>
        <v>0.28000000000000003</v>
      </c>
      <c r="F46" s="33" t="str">
        <f>MatP8826C539PerText</f>
        <v>Each</v>
      </c>
      <c r="G46" s="32">
        <f t="shared" si="0"/>
        <v>2.2400000000000002</v>
      </c>
    </row>
    <row r="47" spans="1:7" x14ac:dyDescent="0.2">
      <c r="A47" s="24" t="str">
        <f>MatP8831C539Colour</f>
        <v>Not Specified</v>
      </c>
      <c r="B47" s="24" t="str">
        <f>IF(MatP8831C539Code=0,"",MatP8831C539Code)</f>
        <v/>
      </c>
      <c r="C47" s="24" t="str">
        <f>MatP8831C539Desc</f>
        <v>Eave Clip</v>
      </c>
      <c r="D47" s="31">
        <v>6</v>
      </c>
      <c r="E47" s="32">
        <f>MatP8831C539Price</f>
        <v>0.1</v>
      </c>
      <c r="F47" s="33" t="str">
        <f>MatP8831C539PerText</f>
        <v>Each</v>
      </c>
      <c r="G47" s="32">
        <f t="shared" si="0"/>
        <v>0.60000000000000009</v>
      </c>
    </row>
    <row r="48" spans="1:7" x14ac:dyDescent="0.2">
      <c r="A48" s="24" t="str">
        <f>MatP9318C0Colour</f>
        <v>Not Specified</v>
      </c>
      <c r="B48" s="24" t="str">
        <f>IF(MatP9318C0Code=0,"",MatP9318C0Code)</f>
        <v/>
      </c>
      <c r="C48" s="24" t="str">
        <f>MatP9318C0Desc</f>
        <v>45mm x 3.35mm Aluminium Nails</v>
      </c>
      <c r="D48" s="31">
        <v>1</v>
      </c>
      <c r="E48" s="32">
        <f>MatP9318C0Price</f>
        <v>7.28</v>
      </c>
      <c r="F48" s="33" t="str">
        <f>MatP9318C0PerText</f>
        <v>Kg</v>
      </c>
      <c r="G48" s="32">
        <f t="shared" si="0"/>
        <v>7.28</v>
      </c>
    </row>
    <row r="49" spans="1:7" x14ac:dyDescent="0.2">
      <c r="A49" s="24" t="str">
        <f>MatP9100C0Colour</f>
        <v>Not Specified</v>
      </c>
      <c r="B49" s="24" t="str">
        <f>IF(MatP9100C0Code=0,"",MatP9100C0Code)</f>
        <v/>
      </c>
      <c r="C49" s="24" t="str">
        <f>MatP9100C0Desc</f>
        <v>Batten Nails - 65mm x 3.35mm Galvanised</v>
      </c>
      <c r="D49" s="31">
        <v>1</v>
      </c>
      <c r="E49" s="32">
        <f>MatP9100C0Price</f>
        <v>4.5</v>
      </c>
      <c r="F49" s="33" t="str">
        <f>MatP9100C0PerText</f>
        <v>Kg</v>
      </c>
      <c r="G49" s="32">
        <f t="shared" si="0"/>
        <v>4.5</v>
      </c>
    </row>
    <row r="50" spans="1:7" x14ac:dyDescent="0.2">
      <c r="A50" s="24" t="str">
        <f>MatP9066C92Colour</f>
        <v>Not Specified</v>
      </c>
      <c r="B50" s="24" t="str">
        <f>IF(MatP9066C92Code=0,"",MatP9066C92Code)</f>
        <v/>
      </c>
      <c r="C50" s="24" t="str">
        <f>MatP9066C92Desc</f>
        <v>Lead Code 4 - 300mm (6m)</v>
      </c>
      <c r="D50" s="31">
        <v>3</v>
      </c>
      <c r="E50" s="32">
        <f>MatP9066C92Price</f>
        <v>15.21</v>
      </c>
      <c r="F50" s="33" t="str">
        <f>MatP9066C92PerText</f>
        <v>Metre</v>
      </c>
      <c r="G50" s="32">
        <f t="shared" si="0"/>
        <v>45.63</v>
      </c>
    </row>
    <row r="51" spans="1:7" x14ac:dyDescent="0.2">
      <c r="A51" s="24" t="str">
        <f>MatLeadRidgeApexSaddleColour</f>
        <v>Not Specified</v>
      </c>
      <c r="B51" s="24" t="str">
        <f>IF(MatLeadRidgeApexSaddleCode=0,"",MatLeadRidgeApexSaddleCode)</f>
        <v/>
      </c>
      <c r="C51" s="24" t="str">
        <f>MatLeadRidgeApexSaddleDesc</f>
        <v>Lead Ridge Apex Saddle</v>
      </c>
      <c r="D51" s="31">
        <v>1</v>
      </c>
      <c r="E51" s="32">
        <f>MatLeadRidgeApexSaddlePrice</f>
        <v>15</v>
      </c>
      <c r="F51" s="33" t="str">
        <f>MatLeadRidgeApexSaddlePerText</f>
        <v>Each</v>
      </c>
      <c r="G51" s="32">
        <f t="shared" si="0"/>
        <v>15</v>
      </c>
    </row>
    <row r="52" spans="1:7" x14ac:dyDescent="0.2">
      <c r="D52" s="31"/>
      <c r="E52" s="32"/>
      <c r="F52" s="33"/>
      <c r="G52" s="32"/>
    </row>
    <row r="53" spans="1:7" x14ac:dyDescent="0.2">
      <c r="F53" s="34" t="s">
        <v>5</v>
      </c>
      <c r="G53" s="35">
        <f>SUM(G36:G52)</f>
        <v>183.93999999999997</v>
      </c>
    </row>
    <row r="54" spans="1:7" x14ac:dyDescent="0.2">
      <c r="G54" s="34"/>
    </row>
    <row r="55" spans="1:7" x14ac:dyDescent="0.2">
      <c r="A55" s="25" t="s">
        <v>15</v>
      </c>
      <c r="B55" s="25"/>
      <c r="D55" s="25"/>
      <c r="E55" s="25"/>
      <c r="F55" s="25"/>
      <c r="G55" s="25"/>
    </row>
    <row r="57" spans="1:7" x14ac:dyDescent="0.2">
      <c r="A57" s="102" t="s">
        <v>6</v>
      </c>
      <c r="B57" s="102"/>
      <c r="C57" s="102"/>
      <c r="D57" s="34" t="s">
        <v>7</v>
      </c>
      <c r="E57" s="34" t="s">
        <v>9</v>
      </c>
      <c r="F57" s="34" t="s">
        <v>8</v>
      </c>
      <c r="G57" s="34" t="s">
        <v>16</v>
      </c>
    </row>
    <row r="58" spans="1:7" x14ac:dyDescent="0.2">
      <c r="A58" s="103" t="str">
        <f>LabP8815R6L1G1Desc</f>
        <v>Main Area</v>
      </c>
      <c r="B58" s="103"/>
      <c r="C58" s="103"/>
      <c r="D58" s="36">
        <f>LabP8815R6L1G1Rate</f>
        <v>9</v>
      </c>
      <c r="E58" s="37">
        <f>'CLN-Porch (Gable)'!Area</f>
        <v>1.98</v>
      </c>
      <c r="F58" s="27" t="str">
        <f xml:space="preserve"> "" &amp; LabP8815R6L1G1Per</f>
        <v>m²</v>
      </c>
      <c r="G58" s="36">
        <f t="shared" ref="G58:G64" si="1">D58 * E58</f>
        <v>17.82</v>
      </c>
    </row>
    <row r="59" spans="1:7" x14ac:dyDescent="0.2">
      <c r="A59" s="24" t="str">
        <f>LabP8815R0L1G2Desc</f>
        <v>Eave</v>
      </c>
      <c r="D59" s="36">
        <f>LabP8815R0L1G2Rate</f>
        <v>2.5</v>
      </c>
      <c r="E59" s="37">
        <f>'CLN-Porch (Gable)'!Eave</f>
        <v>1.8</v>
      </c>
      <c r="F59" s="27" t="str">
        <f xml:space="preserve"> "" &amp; LabP8815R0L1G2Per</f>
        <v>m</v>
      </c>
      <c r="G59" s="36">
        <f t="shared" si="1"/>
        <v>4.5</v>
      </c>
    </row>
    <row r="60" spans="1:7" x14ac:dyDescent="0.2">
      <c r="A60" s="24" t="str">
        <f>LabP8815R0L1G3Desc</f>
        <v>Verge</v>
      </c>
      <c r="D60" s="36">
        <f>LabP8815R0L1G3Rate</f>
        <v>2.5</v>
      </c>
      <c r="E60" s="37">
        <f>LeftVerge+RightVerge</f>
        <v>2.2000000000000002</v>
      </c>
      <c r="F60" s="27" t="str">
        <f xml:space="preserve"> "" &amp; LabP8815R0L1G3Per</f>
        <v>m</v>
      </c>
      <c r="G60" s="36">
        <f t="shared" si="1"/>
        <v>5.5</v>
      </c>
    </row>
    <row r="61" spans="1:7" x14ac:dyDescent="0.2">
      <c r="A61" s="24" t="str">
        <f>LabP8815R0L1G8Desc</f>
        <v>Duo Ridge</v>
      </c>
      <c r="D61" s="36">
        <f>LabP8815R0L1G8Rate</f>
        <v>2.5</v>
      </c>
      <c r="E61" s="37">
        <f>'CLN-Porch (Gable)'!DuoRidge</f>
        <v>0.9</v>
      </c>
      <c r="F61" s="27" t="str">
        <f xml:space="preserve"> "" &amp; LabP8815R0L1G8Per</f>
        <v>m</v>
      </c>
      <c r="G61" s="36">
        <f t="shared" si="1"/>
        <v>2.25</v>
      </c>
    </row>
    <row r="62" spans="1:7" x14ac:dyDescent="0.2">
      <c r="A62" s="24" t="str">
        <f>LabP8815R0L1G10Desc</f>
        <v>Abut Courses</v>
      </c>
      <c r="D62" s="36">
        <f>LabP8815R0L1G10Rate</f>
        <v>5</v>
      </c>
      <c r="E62" s="37">
        <f>'CLN-Porch (Gable)'!AbutCourses</f>
        <v>2.2000000000000002</v>
      </c>
      <c r="F62" s="27" t="str">
        <f xml:space="preserve"> "" &amp; LabP8815R0L1G10Per</f>
        <v>m</v>
      </c>
      <c r="G62" s="36">
        <f t="shared" si="1"/>
        <v>11</v>
      </c>
    </row>
    <row r="63" spans="1:7" x14ac:dyDescent="0.2">
      <c r="A63" s="24" t="str">
        <f>LabP8815R15L1G274Desc</f>
        <v>Step and Cover Flashing (Code 4)</v>
      </c>
      <c r="D63" s="36">
        <f>LabP8815R15L1G274Rate</f>
        <v>15</v>
      </c>
      <c r="E63" s="37">
        <v>2.2000000000000002</v>
      </c>
      <c r="F63" s="27" t="str">
        <f xml:space="preserve"> "" &amp; LabP8815R15L1G274Per</f>
        <v>m</v>
      </c>
      <c r="G63" s="36">
        <f t="shared" si="1"/>
        <v>33</v>
      </c>
    </row>
    <row r="64" spans="1:7" x14ac:dyDescent="0.2">
      <c r="A64" s="24" t="str">
        <f>LabP8815R150LabLabourforPorchesDesc</f>
        <v>Labour for Porches</v>
      </c>
      <c r="D64" s="36">
        <f>LabP8815R150LabLabourforPorchesRate</f>
        <v>150</v>
      </c>
      <c r="E64" s="37">
        <v>1</v>
      </c>
      <c r="F64" s="27" t="str">
        <f xml:space="preserve"> "" &amp; LabP8815R150LabLabourforPorchesPer</f>
        <v/>
      </c>
      <c r="G64" s="36">
        <f t="shared" si="1"/>
        <v>150</v>
      </c>
    </row>
    <row r="65" spans="1:7" x14ac:dyDescent="0.2">
      <c r="D65" s="36"/>
      <c r="E65" s="37"/>
      <c r="F65" s="27"/>
      <c r="G65" s="36"/>
    </row>
    <row r="66" spans="1:7" x14ac:dyDescent="0.2">
      <c r="A66" s="103"/>
      <c r="B66" s="103"/>
      <c r="C66" s="103"/>
      <c r="D66" s="36"/>
      <c r="E66" s="37"/>
      <c r="G66" s="36"/>
    </row>
    <row r="67" spans="1:7" x14ac:dyDescent="0.2">
      <c r="F67" s="34" t="s">
        <v>5</v>
      </c>
      <c r="G67" s="35">
        <f>SUM(G58:G66)</f>
        <v>224.07</v>
      </c>
    </row>
    <row r="71" spans="1:7" x14ac:dyDescent="0.2">
      <c r="A71" s="34"/>
      <c r="B71" s="38"/>
    </row>
    <row r="73" spans="1:7" x14ac:dyDescent="0.2">
      <c r="A73" s="34"/>
      <c r="B73" s="38"/>
    </row>
    <row r="75" spans="1:7" x14ac:dyDescent="0.2">
      <c r="A75" s="34"/>
      <c r="B75" s="38"/>
    </row>
    <row r="77" spans="1:7" x14ac:dyDescent="0.2">
      <c r="A77" s="34"/>
      <c r="B77" s="38"/>
    </row>
    <row r="80" spans="1:7" x14ac:dyDescent="0.2">
      <c r="A80" s="34"/>
      <c r="B80" s="38"/>
      <c r="C80" s="39"/>
    </row>
    <row r="82" spans="1:3" x14ac:dyDescent="0.2">
      <c r="A82" s="34"/>
      <c r="B82" s="38"/>
    </row>
    <row r="84" spans="1:3" x14ac:dyDescent="0.2">
      <c r="A84" s="34"/>
      <c r="B84" s="38"/>
      <c r="C84" s="39"/>
    </row>
    <row r="86" spans="1:3" x14ac:dyDescent="0.2">
      <c r="A86" s="34"/>
      <c r="B86" s="38"/>
    </row>
    <row r="88" spans="1:3" x14ac:dyDescent="0.2">
      <c r="A88" s="34"/>
      <c r="B88" s="38"/>
    </row>
    <row r="91" spans="1:3" x14ac:dyDescent="0.2">
      <c r="A91" s="34"/>
      <c r="B91" s="38"/>
    </row>
    <row r="93" spans="1:3" x14ac:dyDescent="0.2">
      <c r="A93" s="34"/>
      <c r="B93" s="38"/>
    </row>
    <row r="95" spans="1:3" x14ac:dyDescent="0.2">
      <c r="A95" s="34"/>
      <c r="B95" s="38"/>
      <c r="C95" s="39"/>
    </row>
    <row r="98" spans="1:3" x14ac:dyDescent="0.2">
      <c r="A98" s="34"/>
      <c r="B98" s="40"/>
      <c r="C98" s="23"/>
    </row>
    <row r="101" spans="1:3" x14ac:dyDescent="0.2">
      <c r="A101" s="39"/>
      <c r="B101" s="41"/>
    </row>
  </sheetData>
  <mergeCells count="5">
    <mergeCell ref="B4:F4"/>
    <mergeCell ref="B5:F5"/>
    <mergeCell ref="A57:C57"/>
    <mergeCell ref="A58:C58"/>
    <mergeCell ref="A66:C66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63D9C-630A-4322-921F-B0A9AFA74D1E}">
  <dimension ref="A1:G101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166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139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71.739999999999995</v>
      </c>
      <c r="C9" s="23"/>
      <c r="D9" s="26"/>
    </row>
    <row r="10" spans="1:7" x14ac:dyDescent="0.2">
      <c r="A10" s="23" t="s">
        <v>114</v>
      </c>
      <c r="B10" s="24">
        <v>17.8</v>
      </c>
      <c r="C10" s="23"/>
      <c r="D10" s="26"/>
    </row>
    <row r="11" spans="1:7" x14ac:dyDescent="0.2">
      <c r="A11" s="23" t="s">
        <v>115</v>
      </c>
      <c r="B11" s="24">
        <v>8.06</v>
      </c>
      <c r="C11" s="23"/>
      <c r="D11" s="26"/>
    </row>
    <row r="12" spans="1:7" x14ac:dyDescent="0.2">
      <c r="A12" s="23" t="s">
        <v>116</v>
      </c>
      <c r="B12" s="24">
        <v>8.06</v>
      </c>
      <c r="C12" s="23"/>
      <c r="D12" s="26"/>
    </row>
    <row r="13" spans="1:7" x14ac:dyDescent="0.2">
      <c r="A13" s="23" t="s">
        <v>117</v>
      </c>
      <c r="B13" s="24">
        <v>8.9</v>
      </c>
      <c r="C13" s="23"/>
      <c r="D13" s="26"/>
    </row>
    <row r="14" spans="1:7" x14ac:dyDescent="0.2">
      <c r="A14" s="23" t="s">
        <v>119</v>
      </c>
      <c r="B14" s="24">
        <v>600</v>
      </c>
      <c r="C14" s="23"/>
      <c r="D14" s="26"/>
    </row>
    <row r="15" spans="1:7" x14ac:dyDescent="0.2">
      <c r="A15" s="23" t="s">
        <v>120</v>
      </c>
      <c r="B15" s="24">
        <v>35</v>
      </c>
      <c r="C15" s="23"/>
      <c r="D15" s="26"/>
    </row>
    <row r="16" spans="1:7" x14ac:dyDescent="0.2">
      <c r="A16" s="23"/>
      <c r="C16" s="23"/>
      <c r="D16" s="26"/>
    </row>
    <row r="17" spans="1:7" x14ac:dyDescent="0.2">
      <c r="A17" s="23"/>
      <c r="B17" s="27"/>
      <c r="C17" s="23"/>
      <c r="D17" s="26"/>
    </row>
    <row r="18" spans="1:7" x14ac:dyDescent="0.2">
      <c r="A18" s="28" t="s">
        <v>10</v>
      </c>
      <c r="B18" s="28"/>
      <c r="C18" s="28"/>
      <c r="D18" s="28"/>
      <c r="E18" s="28"/>
      <c r="F18" s="28"/>
      <c r="G18" s="28"/>
    </row>
    <row r="19" spans="1:7" x14ac:dyDescent="0.2">
      <c r="A19" s="28"/>
      <c r="B19" s="28"/>
      <c r="C19" s="28"/>
      <c r="D19" s="28"/>
      <c r="E19" s="28"/>
      <c r="F19" s="28"/>
      <c r="G19" s="28"/>
    </row>
    <row r="20" spans="1:7" x14ac:dyDescent="0.2">
      <c r="A20" s="29" t="s">
        <v>121</v>
      </c>
      <c r="B20" s="24" t="s">
        <v>122</v>
      </c>
      <c r="C20" s="29"/>
      <c r="D20" s="29"/>
      <c r="E20" s="29"/>
      <c r="F20" s="29"/>
    </row>
    <row r="21" spans="1:7" x14ac:dyDescent="0.2">
      <c r="A21" s="29" t="s">
        <v>123</v>
      </c>
      <c r="B21" s="24" t="s">
        <v>124</v>
      </c>
      <c r="C21" s="29"/>
      <c r="D21" s="29"/>
      <c r="E21" s="29"/>
      <c r="F21" s="29"/>
    </row>
    <row r="22" spans="1:7" x14ac:dyDescent="0.2">
      <c r="A22" s="29"/>
      <c r="B22" s="24" t="s">
        <v>125</v>
      </c>
      <c r="C22" s="29"/>
      <c r="D22" s="29"/>
      <c r="E22" s="29"/>
      <c r="F22" s="29"/>
    </row>
    <row r="23" spans="1:7" x14ac:dyDescent="0.2">
      <c r="A23" s="29" t="s">
        <v>126</v>
      </c>
      <c r="B23" s="24" t="s">
        <v>127</v>
      </c>
      <c r="C23" s="29"/>
      <c r="D23" s="29"/>
      <c r="E23" s="29"/>
      <c r="F23" s="29"/>
    </row>
    <row r="24" spans="1:7" x14ac:dyDescent="0.2">
      <c r="A24" s="29"/>
      <c r="B24" s="24" t="s">
        <v>128</v>
      </c>
      <c r="C24" s="29"/>
      <c r="D24" s="29"/>
      <c r="E24" s="29"/>
      <c r="F24" s="29"/>
    </row>
    <row r="25" spans="1:7" x14ac:dyDescent="0.2">
      <c r="A25" s="29">
        <v>20</v>
      </c>
      <c r="B25" s="24" t="s">
        <v>130</v>
      </c>
      <c r="C25" s="29"/>
      <c r="D25" s="29"/>
      <c r="E25" s="29"/>
      <c r="F25" s="29"/>
    </row>
    <row r="26" spans="1:7" x14ac:dyDescent="0.2">
      <c r="A26" s="29"/>
      <c r="B26" s="24" t="s">
        <v>150</v>
      </c>
      <c r="C26" s="29"/>
      <c r="D26" s="29"/>
      <c r="E26" s="29"/>
      <c r="F26" s="29"/>
    </row>
    <row r="27" spans="1:7" x14ac:dyDescent="0.2">
      <c r="A27" s="29" t="s">
        <v>132</v>
      </c>
      <c r="B27" s="24" t="s">
        <v>133</v>
      </c>
      <c r="C27" s="29"/>
      <c r="D27" s="29"/>
      <c r="E27" s="29"/>
      <c r="F27" s="29"/>
    </row>
    <row r="28" spans="1:7" x14ac:dyDescent="0.2">
      <c r="A28" s="29" t="s">
        <v>134</v>
      </c>
      <c r="B28" s="24" t="s">
        <v>135</v>
      </c>
      <c r="C28" s="29"/>
      <c r="D28" s="29"/>
      <c r="E28" s="29"/>
      <c r="F28" s="29"/>
    </row>
    <row r="29" spans="1:7" x14ac:dyDescent="0.2">
      <c r="A29" s="29" t="s">
        <v>136</v>
      </c>
      <c r="B29" s="24" t="s">
        <v>137</v>
      </c>
      <c r="C29" s="29"/>
      <c r="D29" s="29"/>
      <c r="E29" s="29"/>
      <c r="F29" s="29"/>
    </row>
    <row r="30" spans="1:7" x14ac:dyDescent="0.2">
      <c r="A30" s="29"/>
      <c r="C30" s="29"/>
      <c r="D30" s="29"/>
      <c r="E30" s="29"/>
      <c r="F30" s="29"/>
    </row>
    <row r="31" spans="1:7" x14ac:dyDescent="0.2">
      <c r="A31" s="29"/>
      <c r="C31" s="29"/>
      <c r="D31" s="29"/>
      <c r="E31" s="29"/>
      <c r="F31" s="29"/>
    </row>
    <row r="32" spans="1:7" x14ac:dyDescent="0.2">
      <c r="A32" s="25" t="s">
        <v>14</v>
      </c>
      <c r="B32" s="25"/>
      <c r="C32" s="25"/>
      <c r="D32" s="25"/>
      <c r="E32" s="25"/>
      <c r="F32" s="25"/>
      <c r="G32" s="25"/>
    </row>
    <row r="34" spans="1:7" s="29" customFormat="1" x14ac:dyDescent="0.2">
      <c r="A34" s="29" t="s">
        <v>25</v>
      </c>
      <c r="B34" s="29" t="s">
        <v>38</v>
      </c>
      <c r="C34" s="29" t="s">
        <v>2</v>
      </c>
      <c r="D34" s="30" t="s">
        <v>9</v>
      </c>
      <c r="E34" s="30" t="s">
        <v>3</v>
      </c>
      <c r="F34" s="30" t="s">
        <v>4</v>
      </c>
      <c r="G34" s="30" t="s">
        <v>16</v>
      </c>
    </row>
    <row r="35" spans="1:7" x14ac:dyDescent="0.2">
      <c r="A35" s="24" t="str">
        <f>MatP8815C0Colour</f>
        <v>Not Specified</v>
      </c>
      <c r="B35" s="24" t="str">
        <f>IF(MatP8815C0Code=0,"",MatP8815C0Code)</f>
        <v/>
      </c>
      <c r="C35" s="24" t="str">
        <f>MatP8815C0Desc</f>
        <v>TLE Tile</v>
      </c>
      <c r="D35" s="31">
        <v>742</v>
      </c>
      <c r="E35" s="32">
        <f>MatP8815C0Price</f>
        <v>1.2</v>
      </c>
      <c r="F35" s="33" t="str">
        <f>MatP8815C0PerText</f>
        <v>Each</v>
      </c>
      <c r="G35" s="32">
        <f t="shared" ref="G35:G53" si="0">D35 * E35</f>
        <v>890.4</v>
      </c>
    </row>
    <row r="36" spans="1:7" x14ac:dyDescent="0.2">
      <c r="A36" s="24" t="str">
        <f>MatP8870C0Colour</f>
        <v>Not Specified</v>
      </c>
      <c r="B36" s="24" t="str">
        <f>IF(MatP8870C0Code=0,"",MatP8870C0Code)</f>
        <v/>
      </c>
      <c r="C36" s="24" t="str">
        <f>MatP8870C0Desc</f>
        <v>Ridge Tile (450mm)</v>
      </c>
      <c r="D36" s="31">
        <v>20</v>
      </c>
      <c r="E36" s="32">
        <f>MatP8870C0Price</f>
        <v>3.64</v>
      </c>
      <c r="F36" s="33" t="str">
        <f>MatP8870C0PerText</f>
        <v>Each</v>
      </c>
      <c r="G36" s="32">
        <f t="shared" si="0"/>
        <v>72.8</v>
      </c>
    </row>
    <row r="37" spans="1:7" x14ac:dyDescent="0.2">
      <c r="A37" s="24" t="str">
        <f>MatP10135C0Colour</f>
        <v>Not Specified</v>
      </c>
      <c r="B37" s="24" t="str">
        <f>IF(MatP10135C0Code=0,"",MatP10135C0Code)</f>
        <v/>
      </c>
      <c r="C37" s="24" t="str">
        <f>MatP10135C0Desc</f>
        <v>VP300 Vapour Permeable Underlay (50m x 1m)</v>
      </c>
      <c r="D37" s="31">
        <v>2</v>
      </c>
      <c r="E37" s="32">
        <f>MatP10135C0Price</f>
        <v>35</v>
      </c>
      <c r="F37" s="33" t="str">
        <f>MatP10135C0PerText</f>
        <v>Roll</v>
      </c>
      <c r="G37" s="32">
        <f t="shared" si="0"/>
        <v>70</v>
      </c>
    </row>
    <row r="38" spans="1:7" x14ac:dyDescent="0.2">
      <c r="A38" s="24" t="str">
        <f>MatP9008C0Colour</f>
        <v>Not Specified</v>
      </c>
      <c r="B38" s="24" t="str">
        <f>IF(MatP9008C0Code=0,"",MatP9008C0Code)</f>
        <v/>
      </c>
      <c r="C38" s="24" t="str">
        <f>MatP9008C0Desc</f>
        <v>Battens (50mm x 25mm)</v>
      </c>
      <c r="D38" s="31">
        <v>249</v>
      </c>
      <c r="E38" s="32">
        <f>MatP9008C0Price</f>
        <v>0.9</v>
      </c>
      <c r="F38" s="33" t="str">
        <f>MatP9008C0PerText</f>
        <v>Metre</v>
      </c>
      <c r="G38" s="32">
        <f t="shared" si="0"/>
        <v>224.1</v>
      </c>
    </row>
    <row r="39" spans="1:7" x14ac:dyDescent="0.2">
      <c r="A39" s="24" t="str">
        <f>MatP8879C15Colour</f>
        <v>Not Specified</v>
      </c>
      <c r="B39" s="24" t="str">
        <f>IF(MatP8879C15Code=0,"",MatP8879C15Code)</f>
        <v/>
      </c>
      <c r="C39" s="24" t="str">
        <f>MatP8879C15Desc</f>
        <v>Universal Dry Ridge/Hip System (6m)</v>
      </c>
      <c r="D39" s="31">
        <v>2</v>
      </c>
      <c r="E39" s="32">
        <f>MatP8879C15Price</f>
        <v>28.09</v>
      </c>
      <c r="F39" s="33" t="str">
        <f>MatP8879C15PerText</f>
        <v>Pack</v>
      </c>
      <c r="G39" s="32">
        <f t="shared" si="0"/>
        <v>56.18</v>
      </c>
    </row>
    <row r="40" spans="1:7" x14ac:dyDescent="0.2">
      <c r="A40" s="24" t="str">
        <f>MatP8857C0Colour</f>
        <v>Not Specified</v>
      </c>
      <c r="B40" s="24" t="str">
        <f>IF(MatP8857C0Code=0,"",MatP8857C0Code)</f>
        <v/>
      </c>
      <c r="C40" s="24" t="str">
        <f>MatP8857C0Desc</f>
        <v>LH Uni-Fix Dry Verge Unit</v>
      </c>
      <c r="D40" s="31">
        <v>48</v>
      </c>
      <c r="E40" s="32">
        <f>MatP8857C0Price</f>
        <v>1.1000000000000001</v>
      </c>
      <c r="F40" s="33" t="str">
        <f>MatP8857C0PerText</f>
        <v>Each</v>
      </c>
      <c r="G40" s="32">
        <f t="shared" si="0"/>
        <v>52.800000000000004</v>
      </c>
    </row>
    <row r="41" spans="1:7" x14ac:dyDescent="0.2">
      <c r="A41" s="24" t="str">
        <f>MatP8869C0Colour</f>
        <v>Not Specified</v>
      </c>
      <c r="B41" s="24" t="str">
        <f>IF(MatP8869C0Code=0,"",MatP8869C0Code)</f>
        <v/>
      </c>
      <c r="C41" s="24" t="str">
        <f>MatP8869C0Desc</f>
        <v>RH Uni-Fix Dry Verge Unit</v>
      </c>
      <c r="D41" s="31">
        <v>48</v>
      </c>
      <c r="E41" s="32">
        <f>MatP8869C0Price</f>
        <v>1.1000000000000001</v>
      </c>
      <c r="F41" s="33" t="str">
        <f>MatP8869C0PerText</f>
        <v>Each</v>
      </c>
      <c r="G41" s="32">
        <f t="shared" si="0"/>
        <v>52.800000000000004</v>
      </c>
    </row>
    <row r="42" spans="1:7" x14ac:dyDescent="0.2">
      <c r="A42" s="24" t="str">
        <f>MatP8877C0Colour</f>
        <v>Not Specified</v>
      </c>
      <c r="B42" s="24" t="str">
        <f>IF(MatP8877C0Code=0,"",MatP8877C0Code)</f>
        <v/>
      </c>
      <c r="C42" s="24" t="str">
        <f>MatP8877C0Desc</f>
        <v>Uni-Fix Universal Ridge End Cap</v>
      </c>
      <c r="D42" s="31">
        <v>2</v>
      </c>
      <c r="E42" s="32">
        <f>MatP8877C0Price</f>
        <v>1.6</v>
      </c>
      <c r="F42" s="33" t="str">
        <f>MatP8877C0PerText</f>
        <v>Each</v>
      </c>
      <c r="G42" s="32">
        <f t="shared" si="0"/>
        <v>3.2</v>
      </c>
    </row>
    <row r="43" spans="1:7" x14ac:dyDescent="0.2">
      <c r="A43" s="24" t="str">
        <f>MatP8830C20Colour</f>
        <v>Not Specified</v>
      </c>
      <c r="B43" s="24" t="str">
        <f>IF(MatP8830C20Code=0,"",MatP8830C20Code)</f>
        <v/>
      </c>
      <c r="C43" s="24" t="str">
        <f>MatP8830C20Desc</f>
        <v>Dry Verge Starter Unit</v>
      </c>
      <c r="D43" s="31">
        <v>4</v>
      </c>
      <c r="E43" s="32">
        <f>MatP8830C20Price</f>
        <v>1.51</v>
      </c>
      <c r="F43" s="33" t="str">
        <f>MatP8830C20PerText</f>
        <v>Each</v>
      </c>
      <c r="G43" s="32">
        <f t="shared" si="0"/>
        <v>6.04</v>
      </c>
    </row>
    <row r="44" spans="1:7" x14ac:dyDescent="0.2">
      <c r="A44" s="24" t="str">
        <f>MatP8820C20Colour</f>
        <v>Not Specified</v>
      </c>
      <c r="B44" s="24" t="str">
        <f>IF(MatP8820C20Code=0,"",MatP8820C20Code)</f>
        <v/>
      </c>
      <c r="C44" s="24" t="str">
        <f>MatP8820C20Desc</f>
        <v>10mm Over Fascia Vent (1m)</v>
      </c>
      <c r="D44" s="31">
        <v>18</v>
      </c>
      <c r="E44" s="32">
        <f>MatP8820C20Price</f>
        <v>1.7</v>
      </c>
      <c r="F44" s="33" t="str">
        <f>MatP8820C20PerText</f>
        <v>Each</v>
      </c>
      <c r="G44" s="32">
        <f t="shared" si="0"/>
        <v>30.599999999999998</v>
      </c>
    </row>
    <row r="45" spans="1:7" x14ac:dyDescent="0.2">
      <c r="A45" s="24" t="str">
        <f>MatP8281C0Colour</f>
        <v>Not Specified</v>
      </c>
      <c r="B45" s="24" t="str">
        <f>IF(MatP8281C0Code=0,"",MatP8281C0Code)</f>
        <v/>
      </c>
      <c r="C45" s="24" t="str">
        <f>MatP8281C0Desc</f>
        <v>Generic Eave Insulation (1m)</v>
      </c>
      <c r="D45" s="31">
        <v>18</v>
      </c>
      <c r="E45" s="32">
        <f>MatP8281C0Price</f>
        <v>5</v>
      </c>
      <c r="F45" s="33" t="str">
        <f>MatP8281C0PerText</f>
        <v>Each</v>
      </c>
      <c r="G45" s="32">
        <f t="shared" si="0"/>
        <v>90</v>
      </c>
    </row>
    <row r="46" spans="1:7" x14ac:dyDescent="0.2">
      <c r="A46" s="24" t="str">
        <f>MatP8866C20Colour</f>
        <v>Not Specified</v>
      </c>
      <c r="B46" s="24" t="str">
        <f>IF(MatP8866C20Code=0,"",MatP8866C20Code)</f>
        <v/>
      </c>
      <c r="C46" s="24" t="str">
        <f>MatP8866C20Desc</f>
        <v>Rafter Roll (6m x 600mm)</v>
      </c>
      <c r="D46" s="31">
        <v>3</v>
      </c>
      <c r="E46" s="32">
        <f>MatP8866C20Price</f>
        <v>9.5</v>
      </c>
      <c r="F46" s="33" t="str">
        <f>MatP8866C20PerText</f>
        <v>Each</v>
      </c>
      <c r="G46" s="32">
        <f t="shared" si="0"/>
        <v>28.5</v>
      </c>
    </row>
    <row r="47" spans="1:7" x14ac:dyDescent="0.2">
      <c r="A47" s="24" t="str">
        <f>MatP8874C20Colour</f>
        <v>Not Specified</v>
      </c>
      <c r="B47" s="24" t="str">
        <f>IF(MatP8874C20Code=0,"",MatP8874C20Code)</f>
        <v/>
      </c>
      <c r="C47" s="24" t="str">
        <f>MatP8874C20Desc</f>
        <v>Underlay Support Tray (1.5m)</v>
      </c>
      <c r="D47" s="31">
        <v>12</v>
      </c>
      <c r="E47" s="32">
        <f>MatP8874C20Price</f>
        <v>1.5</v>
      </c>
      <c r="F47" s="33" t="str">
        <f>MatP8874C20PerText</f>
        <v>Each</v>
      </c>
      <c r="G47" s="32">
        <f t="shared" si="0"/>
        <v>18</v>
      </c>
    </row>
    <row r="48" spans="1:7" x14ac:dyDescent="0.2">
      <c r="A48" s="24" t="str">
        <f>MatP8872C539Colour</f>
        <v>Not Specified</v>
      </c>
      <c r="B48" s="24" t="str">
        <f>IF(MatP8872C539Code=0,"",MatP8872C539Code)</f>
        <v/>
      </c>
      <c r="C48" s="24" t="str">
        <f>MatP8872C539Desc</f>
        <v>Sidelock Tile Clips (TLE)</v>
      </c>
      <c r="D48" s="31">
        <v>276</v>
      </c>
      <c r="E48" s="32">
        <f>MatP8872C539Price</f>
        <v>7.0000000000000007E-2</v>
      </c>
      <c r="F48" s="33" t="str">
        <f>MatP8872C539PerText</f>
        <v>Each</v>
      </c>
      <c r="G48" s="32">
        <f t="shared" si="0"/>
        <v>19.32</v>
      </c>
    </row>
    <row r="49" spans="1:7" x14ac:dyDescent="0.2">
      <c r="A49" s="24" t="str">
        <f>MatP8826C539Colour</f>
        <v>Not Specified</v>
      </c>
      <c r="B49" s="24" t="str">
        <f>IF(MatP8826C539Code=0,"",MatP8826C539Code)</f>
        <v/>
      </c>
      <c r="C49" s="24" t="str">
        <f>MatP8826C539Desc</f>
        <v>Metal Batten End Clips</v>
      </c>
      <c r="D49" s="31">
        <v>48</v>
      </c>
      <c r="E49" s="32">
        <f>MatP8826C539Price</f>
        <v>0.28000000000000003</v>
      </c>
      <c r="F49" s="33" t="str">
        <f>MatP8826C539PerText</f>
        <v>Each</v>
      </c>
      <c r="G49" s="32">
        <f t="shared" si="0"/>
        <v>13.440000000000001</v>
      </c>
    </row>
    <row r="50" spans="1:7" x14ac:dyDescent="0.2">
      <c r="A50" s="24" t="str">
        <f>MatP8831C539Colour</f>
        <v>Not Specified</v>
      </c>
      <c r="B50" s="24" t="str">
        <f>IF(MatP8831C539Code=0,"",MatP8831C539Code)</f>
        <v/>
      </c>
      <c r="C50" s="24" t="str">
        <f>MatP8831C539Desc</f>
        <v>Eave Clip</v>
      </c>
      <c r="D50" s="31">
        <v>60</v>
      </c>
      <c r="E50" s="32">
        <f>MatP8831C539Price</f>
        <v>0.1</v>
      </c>
      <c r="F50" s="33" t="str">
        <f>MatP8831C539PerText</f>
        <v>Each</v>
      </c>
      <c r="G50" s="32">
        <f t="shared" si="0"/>
        <v>6</v>
      </c>
    </row>
    <row r="51" spans="1:7" x14ac:dyDescent="0.2">
      <c r="A51" s="24" t="str">
        <f>MatP9318C0Colour</f>
        <v>Not Specified</v>
      </c>
      <c r="B51" s="24" t="str">
        <f>IF(MatP9318C0Code=0,"",MatP9318C0Code)</f>
        <v/>
      </c>
      <c r="C51" s="24" t="str">
        <f>MatP9318C0Desc</f>
        <v>45mm x 3.35mm Aluminium Nails</v>
      </c>
      <c r="D51" s="31">
        <v>1.9999999701976776</v>
      </c>
      <c r="E51" s="32">
        <f>MatP9318C0Price</f>
        <v>7.28</v>
      </c>
      <c r="F51" s="33" t="str">
        <f>MatP9318C0PerText</f>
        <v>Kg</v>
      </c>
      <c r="G51" s="32">
        <f t="shared" si="0"/>
        <v>14.559999783039094</v>
      </c>
    </row>
    <row r="52" spans="1:7" x14ac:dyDescent="0.2">
      <c r="A52" s="24" t="str">
        <f>MatP9100C0Colour</f>
        <v>Not Specified</v>
      </c>
      <c r="B52" s="24" t="str">
        <f>IF(MatP9100C0Code=0,"",MatP9100C0Code)</f>
        <v/>
      </c>
      <c r="C52" s="24" t="str">
        <f>MatP9100C0Desc</f>
        <v>Batten Nails - 65mm x 3.35mm Galvanised</v>
      </c>
      <c r="D52" s="31">
        <v>3</v>
      </c>
      <c r="E52" s="32">
        <f>MatP9100C0Price</f>
        <v>4.5</v>
      </c>
      <c r="F52" s="33" t="str">
        <f>MatP9100C0PerText</f>
        <v>Kg</v>
      </c>
      <c r="G52" s="32">
        <f t="shared" si="0"/>
        <v>13.5</v>
      </c>
    </row>
    <row r="53" spans="1:7" x14ac:dyDescent="0.2">
      <c r="A53" s="24" t="str">
        <f>MatLeadSlateColour</f>
        <v>Not Specified</v>
      </c>
      <c r="B53" s="24" t="str">
        <f>IF(MatLeadSlateCode=0,"",MatLeadSlateCode)</f>
        <v/>
      </c>
      <c r="C53" s="24" t="str">
        <f>MatLeadSlateDesc</f>
        <v>Lead Slate</v>
      </c>
      <c r="D53" s="31">
        <v>1</v>
      </c>
      <c r="E53" s="32">
        <f>MatLeadSlatePrice</f>
        <v>15</v>
      </c>
      <c r="F53" s="33" t="str">
        <f>MatLeadSlatePerText</f>
        <v>Each</v>
      </c>
      <c r="G53" s="32">
        <f t="shared" si="0"/>
        <v>15</v>
      </c>
    </row>
    <row r="54" spans="1:7" x14ac:dyDescent="0.2">
      <c r="D54" s="31"/>
      <c r="E54" s="32"/>
      <c r="F54" s="33"/>
      <c r="G54" s="32"/>
    </row>
    <row r="55" spans="1:7" x14ac:dyDescent="0.2">
      <c r="F55" s="34" t="s">
        <v>5</v>
      </c>
      <c r="G55" s="35">
        <f>SUM(G35:G54)</f>
        <v>1677.2399997830387</v>
      </c>
    </row>
    <row r="56" spans="1:7" x14ac:dyDescent="0.2">
      <c r="G56" s="34"/>
    </row>
    <row r="57" spans="1:7" x14ac:dyDescent="0.2">
      <c r="A57" s="25" t="s">
        <v>15</v>
      </c>
      <c r="B57" s="25"/>
      <c r="D57" s="25"/>
      <c r="E57" s="25"/>
      <c r="F57" s="25"/>
      <c r="G57" s="25"/>
    </row>
    <row r="59" spans="1:7" x14ac:dyDescent="0.2">
      <c r="A59" s="102" t="s">
        <v>6</v>
      </c>
      <c r="B59" s="102"/>
      <c r="C59" s="102"/>
      <c r="D59" s="34" t="s">
        <v>7</v>
      </c>
      <c r="E59" s="34" t="s">
        <v>9</v>
      </c>
      <c r="F59" s="34" t="s">
        <v>8</v>
      </c>
      <c r="G59" s="34" t="s">
        <v>16</v>
      </c>
    </row>
    <row r="60" spans="1:7" x14ac:dyDescent="0.2">
      <c r="A60" s="103" t="str">
        <f>LabP8815R6L1G1Desc</f>
        <v>Main Area</v>
      </c>
      <c r="B60" s="103"/>
      <c r="C60" s="103"/>
      <c r="D60" s="36">
        <f>LabP8815R6L1G1Rate</f>
        <v>9</v>
      </c>
      <c r="E60" s="37">
        <f>'CLY-Main Roof'!Area</f>
        <v>71.739999999999995</v>
      </c>
      <c r="F60" s="27" t="str">
        <f xml:space="preserve"> "" &amp; LabP8815R6L1G1Per</f>
        <v>m²</v>
      </c>
      <c r="G60" s="36">
        <f>D60 * E60</f>
        <v>645.66</v>
      </c>
    </row>
    <row r="61" spans="1:7" x14ac:dyDescent="0.2">
      <c r="A61" s="24" t="str">
        <f>LabP8815R0L1G2Desc</f>
        <v>Eave</v>
      </c>
      <c r="D61" s="36">
        <f>LabP8815R0L1G2Rate</f>
        <v>2.5</v>
      </c>
      <c r="E61" s="37">
        <f>'CLY-Main Roof'!Eave</f>
        <v>17.8</v>
      </c>
      <c r="F61" s="27" t="str">
        <f xml:space="preserve"> "" &amp; LabP8815R0L1G2Per</f>
        <v>m</v>
      </c>
      <c r="G61" s="36">
        <f>D61 * E61</f>
        <v>44.5</v>
      </c>
    </row>
    <row r="62" spans="1:7" x14ac:dyDescent="0.2">
      <c r="A62" s="24" t="str">
        <f>LabP8815R0L1G3Desc</f>
        <v>Verge</v>
      </c>
      <c r="D62" s="36">
        <f>LabP8815R0L1G3Rate</f>
        <v>2.5</v>
      </c>
      <c r="E62" s="37">
        <f>LeftVerge+RightVerge</f>
        <v>16.12</v>
      </c>
      <c r="F62" s="27" t="str">
        <f xml:space="preserve"> "" &amp; LabP8815R0L1G3Per</f>
        <v>m</v>
      </c>
      <c r="G62" s="36">
        <f>D62 * E62</f>
        <v>40.300000000000004</v>
      </c>
    </row>
    <row r="63" spans="1:7" x14ac:dyDescent="0.2">
      <c r="A63" s="24" t="str">
        <f>LabP8815R0L1G8Desc</f>
        <v>Duo Ridge</v>
      </c>
      <c r="D63" s="36">
        <f>LabP8815R0L1G8Rate</f>
        <v>2.5</v>
      </c>
      <c r="E63" s="37">
        <f>'CLY-Main Roof'!DuoRidge</f>
        <v>8.9</v>
      </c>
      <c r="F63" s="27" t="str">
        <f xml:space="preserve"> "" &amp; LabP8815R0L1G8Per</f>
        <v>m</v>
      </c>
      <c r="G63" s="36">
        <f>D63 * E63</f>
        <v>22.25</v>
      </c>
    </row>
    <row r="64" spans="1:7" x14ac:dyDescent="0.2">
      <c r="A64" s="24" t="str">
        <f>LabP8815R0LabBoilerFlueDesc</f>
        <v>Boiler Flue</v>
      </c>
      <c r="D64" s="36">
        <f>LabP8815R0LabBoilerFlueRate</f>
        <v>20</v>
      </c>
      <c r="E64" s="37">
        <v>1</v>
      </c>
      <c r="F64" s="27" t="str">
        <f xml:space="preserve"> "" &amp; LabP8815R0LabBoilerFluePer</f>
        <v/>
      </c>
      <c r="G64" s="36">
        <f>D64 * E64</f>
        <v>20</v>
      </c>
    </row>
    <row r="65" spans="1:7" x14ac:dyDescent="0.2">
      <c r="D65" s="36"/>
      <c r="E65" s="37"/>
      <c r="F65" s="27"/>
      <c r="G65" s="36"/>
    </row>
    <row r="66" spans="1:7" x14ac:dyDescent="0.2">
      <c r="A66" s="103"/>
      <c r="B66" s="103"/>
      <c r="C66" s="103"/>
      <c r="D66" s="36"/>
      <c r="E66" s="37"/>
      <c r="G66" s="36"/>
    </row>
    <row r="67" spans="1:7" x14ac:dyDescent="0.2">
      <c r="F67" s="34" t="s">
        <v>5</v>
      </c>
      <c r="G67" s="35">
        <f>SUM(G60:G66)</f>
        <v>772.70999999999992</v>
      </c>
    </row>
    <row r="71" spans="1:7" x14ac:dyDescent="0.2">
      <c r="A71" s="34"/>
      <c r="B71" s="38"/>
    </row>
    <row r="73" spans="1:7" x14ac:dyDescent="0.2">
      <c r="A73" s="34"/>
      <c r="B73" s="38"/>
    </row>
    <row r="75" spans="1:7" x14ac:dyDescent="0.2">
      <c r="A75" s="34"/>
      <c r="B75" s="38"/>
    </row>
    <row r="77" spans="1:7" x14ac:dyDescent="0.2">
      <c r="A77" s="34"/>
      <c r="B77" s="38"/>
    </row>
    <row r="80" spans="1:7" x14ac:dyDescent="0.2">
      <c r="A80" s="34"/>
      <c r="B80" s="38"/>
      <c r="C80" s="39"/>
    </row>
    <row r="82" spans="1:3" x14ac:dyDescent="0.2">
      <c r="A82" s="34"/>
      <c r="B82" s="38"/>
    </row>
    <row r="84" spans="1:3" x14ac:dyDescent="0.2">
      <c r="A84" s="34"/>
      <c r="B84" s="38"/>
      <c r="C84" s="39"/>
    </row>
    <row r="86" spans="1:3" x14ac:dyDescent="0.2">
      <c r="A86" s="34"/>
      <c r="B86" s="38"/>
    </row>
    <row r="88" spans="1:3" x14ac:dyDescent="0.2">
      <c r="A88" s="34"/>
      <c r="B88" s="38"/>
    </row>
    <row r="91" spans="1:3" x14ac:dyDescent="0.2">
      <c r="A91" s="34"/>
      <c r="B91" s="38"/>
    </row>
    <row r="93" spans="1:3" x14ac:dyDescent="0.2">
      <c r="A93" s="34"/>
      <c r="B93" s="38"/>
    </row>
    <row r="95" spans="1:3" x14ac:dyDescent="0.2">
      <c r="A95" s="34"/>
      <c r="B95" s="38"/>
      <c r="C95" s="39"/>
    </row>
    <row r="98" spans="1:3" x14ac:dyDescent="0.2">
      <c r="A98" s="34"/>
      <c r="B98" s="40"/>
      <c r="C98" s="23"/>
    </row>
    <row r="101" spans="1:3" x14ac:dyDescent="0.2">
      <c r="A101" s="39"/>
      <c r="B101" s="41"/>
    </row>
  </sheetData>
  <mergeCells count="5">
    <mergeCell ref="B4:F4"/>
    <mergeCell ref="B5:F5"/>
    <mergeCell ref="A59:C59"/>
    <mergeCell ref="A60:C60"/>
    <mergeCell ref="A66:C66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9506A-68FA-4B72-BFAF-9A35DE0159FE}">
  <dimension ref="A1:G101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166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156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2.1</v>
      </c>
      <c r="C9" s="23"/>
      <c r="D9" s="26"/>
    </row>
    <row r="10" spans="1:7" x14ac:dyDescent="0.2">
      <c r="A10" s="23" t="s">
        <v>114</v>
      </c>
      <c r="B10" s="24">
        <v>1.8</v>
      </c>
      <c r="C10" s="23"/>
      <c r="D10" s="26"/>
    </row>
    <row r="11" spans="1:7" x14ac:dyDescent="0.2">
      <c r="A11" s="23" t="s">
        <v>115</v>
      </c>
      <c r="B11" s="24">
        <v>1.17</v>
      </c>
      <c r="C11" s="23"/>
      <c r="D11" s="26"/>
    </row>
    <row r="12" spans="1:7" x14ac:dyDescent="0.2">
      <c r="A12" s="23" t="s">
        <v>116</v>
      </c>
      <c r="B12" s="24">
        <v>1.17</v>
      </c>
      <c r="C12" s="23"/>
      <c r="D12" s="26"/>
    </row>
    <row r="13" spans="1:7" x14ac:dyDescent="0.2">
      <c r="A13" s="23" t="s">
        <v>117</v>
      </c>
      <c r="B13" s="24">
        <v>0.9</v>
      </c>
      <c r="C13" s="23"/>
      <c r="D13" s="26"/>
    </row>
    <row r="14" spans="1:7" x14ac:dyDescent="0.2">
      <c r="A14" s="23" t="s">
        <v>153</v>
      </c>
      <c r="B14" s="24">
        <v>2.34</v>
      </c>
      <c r="C14" s="23"/>
      <c r="D14" s="26"/>
    </row>
    <row r="15" spans="1:7" x14ac:dyDescent="0.2">
      <c r="A15" s="23" t="s">
        <v>119</v>
      </c>
      <c r="B15" s="24">
        <v>600</v>
      </c>
      <c r="C15" s="23"/>
      <c r="D15" s="26"/>
    </row>
    <row r="16" spans="1:7" x14ac:dyDescent="0.2">
      <c r="A16" s="23" t="s">
        <v>120</v>
      </c>
      <c r="B16" s="24">
        <v>40</v>
      </c>
      <c r="C16" s="23"/>
      <c r="D16" s="26"/>
    </row>
    <row r="17" spans="1:7" x14ac:dyDescent="0.2">
      <c r="A17" s="23"/>
      <c r="C17" s="23"/>
      <c r="D17" s="26"/>
    </row>
    <row r="18" spans="1:7" x14ac:dyDescent="0.2">
      <c r="A18" s="23"/>
      <c r="B18" s="27"/>
      <c r="C18" s="23"/>
      <c r="D18" s="26"/>
    </row>
    <row r="19" spans="1:7" x14ac:dyDescent="0.2">
      <c r="A19" s="28" t="s">
        <v>10</v>
      </c>
      <c r="B19" s="28"/>
      <c r="C19" s="28"/>
      <c r="D19" s="28"/>
      <c r="E19" s="28"/>
      <c r="F19" s="28"/>
      <c r="G19" s="28"/>
    </row>
    <row r="20" spans="1:7" x14ac:dyDescent="0.2">
      <c r="A20" s="28"/>
      <c r="B20" s="28"/>
      <c r="C20" s="28"/>
      <c r="D20" s="28"/>
      <c r="E20" s="28"/>
      <c r="F20" s="28"/>
      <c r="G20" s="28"/>
    </row>
    <row r="21" spans="1:7" x14ac:dyDescent="0.2">
      <c r="A21" s="29" t="s">
        <v>121</v>
      </c>
      <c r="B21" s="24" t="s">
        <v>122</v>
      </c>
      <c r="C21" s="29"/>
      <c r="D21" s="29"/>
      <c r="E21" s="29"/>
      <c r="F21" s="29"/>
    </row>
    <row r="22" spans="1:7" x14ac:dyDescent="0.2">
      <c r="A22" s="29" t="s">
        <v>123</v>
      </c>
      <c r="B22" s="24" t="s">
        <v>124</v>
      </c>
      <c r="C22" s="29"/>
      <c r="D22" s="29"/>
      <c r="E22" s="29"/>
      <c r="F22" s="29"/>
    </row>
    <row r="23" spans="1:7" x14ac:dyDescent="0.2">
      <c r="A23" s="29"/>
      <c r="B23" s="24" t="s">
        <v>154</v>
      </c>
      <c r="C23" s="29"/>
      <c r="D23" s="29"/>
      <c r="E23" s="29"/>
      <c r="F23" s="29"/>
    </row>
    <row r="24" spans="1:7" x14ac:dyDescent="0.2">
      <c r="A24" s="29" t="s">
        <v>126</v>
      </c>
      <c r="B24" s="24" t="s">
        <v>127</v>
      </c>
      <c r="C24" s="29"/>
      <c r="D24" s="29"/>
      <c r="E24" s="29"/>
      <c r="F24" s="29"/>
    </row>
    <row r="25" spans="1:7" x14ac:dyDescent="0.2">
      <c r="A25" s="29">
        <v>20</v>
      </c>
      <c r="B25" s="24" t="s">
        <v>67</v>
      </c>
      <c r="C25" s="29"/>
      <c r="D25" s="29"/>
      <c r="E25" s="29"/>
      <c r="F25" s="29"/>
    </row>
    <row r="26" spans="1:7" x14ac:dyDescent="0.2">
      <c r="A26" s="29" t="s">
        <v>129</v>
      </c>
      <c r="B26" s="24" t="s">
        <v>130</v>
      </c>
      <c r="C26" s="29"/>
      <c r="D26" s="29"/>
      <c r="E26" s="29"/>
      <c r="F26" s="29"/>
    </row>
    <row r="27" spans="1:7" x14ac:dyDescent="0.2">
      <c r="A27" s="29"/>
      <c r="B27" s="24" t="s">
        <v>131</v>
      </c>
      <c r="C27" s="29"/>
      <c r="D27" s="29"/>
      <c r="E27" s="29"/>
      <c r="F27" s="29"/>
    </row>
    <row r="28" spans="1:7" x14ac:dyDescent="0.2">
      <c r="A28" s="29" t="s">
        <v>132</v>
      </c>
      <c r="B28" s="24" t="s">
        <v>133</v>
      </c>
      <c r="C28" s="29"/>
      <c r="D28" s="29"/>
      <c r="E28" s="29"/>
      <c r="F28" s="29"/>
    </row>
    <row r="29" spans="1:7" x14ac:dyDescent="0.2">
      <c r="A29" s="29" t="s">
        <v>134</v>
      </c>
      <c r="B29" s="24" t="s">
        <v>135</v>
      </c>
      <c r="C29" s="29"/>
      <c r="D29" s="29"/>
      <c r="E29" s="29"/>
      <c r="F29" s="29"/>
    </row>
    <row r="30" spans="1:7" x14ac:dyDescent="0.2">
      <c r="A30" s="29" t="s">
        <v>143</v>
      </c>
      <c r="B30" s="24" t="s">
        <v>155</v>
      </c>
      <c r="C30" s="29"/>
      <c r="D30" s="29"/>
      <c r="E30" s="29"/>
      <c r="F30" s="29"/>
    </row>
    <row r="31" spans="1:7" x14ac:dyDescent="0.2">
      <c r="A31" s="29"/>
      <c r="C31" s="29"/>
      <c r="D31" s="29"/>
      <c r="E31" s="29"/>
      <c r="F31" s="29"/>
    </row>
    <row r="32" spans="1:7" x14ac:dyDescent="0.2">
      <c r="A32" s="29"/>
      <c r="C32" s="29"/>
      <c r="D32" s="29"/>
      <c r="E32" s="29"/>
      <c r="F32" s="29"/>
    </row>
    <row r="33" spans="1:7" x14ac:dyDescent="0.2">
      <c r="A33" s="25" t="s">
        <v>14</v>
      </c>
      <c r="B33" s="25"/>
      <c r="C33" s="25"/>
      <c r="D33" s="25"/>
      <c r="E33" s="25"/>
      <c r="F33" s="25"/>
      <c r="G33" s="25"/>
    </row>
    <row r="35" spans="1:7" s="29" customFormat="1" x14ac:dyDescent="0.2">
      <c r="A35" s="29" t="s">
        <v>25</v>
      </c>
      <c r="B35" s="29" t="s">
        <v>38</v>
      </c>
      <c r="C35" s="29" t="s">
        <v>2</v>
      </c>
      <c r="D35" s="30" t="s">
        <v>9</v>
      </c>
      <c r="E35" s="30" t="s">
        <v>3</v>
      </c>
      <c r="F35" s="30" t="s">
        <v>4</v>
      </c>
      <c r="G35" s="30" t="s">
        <v>16</v>
      </c>
    </row>
    <row r="36" spans="1:7" x14ac:dyDescent="0.2">
      <c r="A36" s="24" t="str">
        <f>MatP8815C0Colour</f>
        <v>Not Specified</v>
      </c>
      <c r="B36" s="24" t="str">
        <f>IF(MatP8815C0Code=0,"",MatP8815C0Code)</f>
        <v/>
      </c>
      <c r="C36" s="24" t="str">
        <f>MatP8815C0Desc</f>
        <v>TLE Tile</v>
      </c>
      <c r="D36" s="31">
        <v>25</v>
      </c>
      <c r="E36" s="32">
        <f>MatP8815C0Price</f>
        <v>1.2</v>
      </c>
      <c r="F36" s="33" t="str">
        <f>MatP8815C0PerText</f>
        <v>Each</v>
      </c>
      <c r="G36" s="32">
        <f t="shared" ref="G36:G51" si="0">D36 * E36</f>
        <v>30</v>
      </c>
    </row>
    <row r="37" spans="1:7" x14ac:dyDescent="0.2">
      <c r="A37" s="24" t="str">
        <f>MatP8870C0Colour</f>
        <v>Not Specified</v>
      </c>
      <c r="B37" s="24" t="str">
        <f>IF(MatP8870C0Code=0,"",MatP8870C0Code)</f>
        <v/>
      </c>
      <c r="C37" s="24" t="str">
        <f>MatP8870C0Desc</f>
        <v>Ridge Tile (450mm)</v>
      </c>
      <c r="D37" s="31">
        <v>2</v>
      </c>
      <c r="E37" s="32">
        <f>MatP8870C0Price</f>
        <v>3.64</v>
      </c>
      <c r="F37" s="33" t="str">
        <f>MatP8870C0PerText</f>
        <v>Each</v>
      </c>
      <c r="G37" s="32">
        <f t="shared" si="0"/>
        <v>7.28</v>
      </c>
    </row>
    <row r="38" spans="1:7" x14ac:dyDescent="0.2">
      <c r="A38" s="24" t="str">
        <f>MatP9008C0Colour</f>
        <v>Not Specified</v>
      </c>
      <c r="B38" s="24" t="str">
        <f>IF(MatP9008C0Code=0,"",MatP9008C0Code)</f>
        <v/>
      </c>
      <c r="C38" s="24" t="str">
        <f>MatP9008C0Desc</f>
        <v>Battens (50mm x 25mm)</v>
      </c>
      <c r="D38" s="31">
        <v>9</v>
      </c>
      <c r="E38" s="32">
        <f>MatP9008C0Price</f>
        <v>0.9</v>
      </c>
      <c r="F38" s="33" t="str">
        <f>MatP9008C0PerText</f>
        <v>Metre</v>
      </c>
      <c r="G38" s="32">
        <f t="shared" si="0"/>
        <v>8.1</v>
      </c>
    </row>
    <row r="39" spans="1:7" x14ac:dyDescent="0.2">
      <c r="A39" s="24" t="str">
        <f>MatP8879C15Colour</f>
        <v>Not Specified</v>
      </c>
      <c r="B39" s="24" t="str">
        <f>IF(MatP8879C15Code=0,"",MatP8879C15Code)</f>
        <v/>
      </c>
      <c r="C39" s="24" t="str">
        <f>MatP8879C15Desc</f>
        <v>Universal Dry Ridge/Hip System (6m)</v>
      </c>
      <c r="D39" s="31">
        <v>1</v>
      </c>
      <c r="E39" s="32">
        <f>MatP8879C15Price</f>
        <v>28.09</v>
      </c>
      <c r="F39" s="33" t="str">
        <f>MatP8879C15PerText</f>
        <v>Pack</v>
      </c>
      <c r="G39" s="32">
        <f t="shared" si="0"/>
        <v>28.09</v>
      </c>
    </row>
    <row r="40" spans="1:7" x14ac:dyDescent="0.2">
      <c r="A40" s="24" t="str">
        <f>MatP8857C0Colour</f>
        <v>Not Specified</v>
      </c>
      <c r="B40" s="24" t="str">
        <f>IF(MatP8857C0Code=0,"",MatP8857C0Code)</f>
        <v/>
      </c>
      <c r="C40" s="24" t="str">
        <f>MatP8857C0Desc</f>
        <v>LH Uni-Fix Dry Verge Unit</v>
      </c>
      <c r="D40" s="31">
        <v>8</v>
      </c>
      <c r="E40" s="32">
        <f>MatP8857C0Price</f>
        <v>1.1000000000000001</v>
      </c>
      <c r="F40" s="33" t="str">
        <f>MatP8857C0PerText</f>
        <v>Each</v>
      </c>
      <c r="G40" s="32">
        <f t="shared" si="0"/>
        <v>8.8000000000000007</v>
      </c>
    </row>
    <row r="41" spans="1:7" x14ac:dyDescent="0.2">
      <c r="A41" s="24" t="str">
        <f>MatP8869C0Colour</f>
        <v>Not Specified</v>
      </c>
      <c r="B41" s="24" t="str">
        <f>IF(MatP8869C0Code=0,"",MatP8869C0Code)</f>
        <v/>
      </c>
      <c r="C41" s="24" t="str">
        <f>MatP8869C0Desc</f>
        <v>RH Uni-Fix Dry Verge Unit</v>
      </c>
      <c r="D41" s="31">
        <v>8</v>
      </c>
      <c r="E41" s="32">
        <f>MatP8869C0Price</f>
        <v>1.1000000000000001</v>
      </c>
      <c r="F41" s="33" t="str">
        <f>MatP8869C0PerText</f>
        <v>Each</v>
      </c>
      <c r="G41" s="32">
        <f t="shared" si="0"/>
        <v>8.8000000000000007</v>
      </c>
    </row>
    <row r="42" spans="1:7" x14ac:dyDescent="0.2">
      <c r="A42" s="24" t="str">
        <f>MatP8877C0Colour</f>
        <v>Not Specified</v>
      </c>
      <c r="B42" s="24" t="str">
        <f>IF(MatP8877C0Code=0,"",MatP8877C0Code)</f>
        <v/>
      </c>
      <c r="C42" s="24" t="str">
        <f>MatP8877C0Desc</f>
        <v>Uni-Fix Universal Ridge End Cap</v>
      </c>
      <c r="D42" s="31">
        <v>1</v>
      </c>
      <c r="E42" s="32">
        <f>MatP8877C0Price</f>
        <v>1.6</v>
      </c>
      <c r="F42" s="33" t="str">
        <f>MatP8877C0PerText</f>
        <v>Each</v>
      </c>
      <c r="G42" s="32">
        <f t="shared" si="0"/>
        <v>1.6</v>
      </c>
    </row>
    <row r="43" spans="1:7" x14ac:dyDescent="0.2">
      <c r="A43" s="24" t="str">
        <f>MatP8830C20Colour</f>
        <v>Not Specified</v>
      </c>
      <c r="B43" s="24" t="str">
        <f>IF(MatP8830C20Code=0,"",MatP8830C20Code)</f>
        <v/>
      </c>
      <c r="C43" s="24" t="str">
        <f>MatP8830C20Desc</f>
        <v>Dry Verge Starter Unit</v>
      </c>
      <c r="D43" s="31">
        <v>2</v>
      </c>
      <c r="E43" s="32">
        <f>MatP8830C20Price</f>
        <v>1.51</v>
      </c>
      <c r="F43" s="33" t="str">
        <f>MatP8830C20PerText</f>
        <v>Each</v>
      </c>
      <c r="G43" s="32">
        <f t="shared" si="0"/>
        <v>3.02</v>
      </c>
    </row>
    <row r="44" spans="1:7" x14ac:dyDescent="0.2">
      <c r="A44" s="24" t="str">
        <f>MatP8281C0Colour</f>
        <v>Not Specified</v>
      </c>
      <c r="B44" s="24" t="str">
        <f>IF(MatP8281C0Code=0,"",MatP8281C0Code)</f>
        <v/>
      </c>
      <c r="C44" s="24" t="str">
        <f>MatP8281C0Desc</f>
        <v>Generic Eave Insulation (1m)</v>
      </c>
      <c r="D44" s="31">
        <v>2</v>
      </c>
      <c r="E44" s="32">
        <f>MatP8281C0Price</f>
        <v>5</v>
      </c>
      <c r="F44" s="33" t="str">
        <f>MatP8281C0PerText</f>
        <v>Each</v>
      </c>
      <c r="G44" s="32">
        <f t="shared" si="0"/>
        <v>10</v>
      </c>
    </row>
    <row r="45" spans="1:7" x14ac:dyDescent="0.2">
      <c r="A45" s="24" t="str">
        <f>MatP8874C20Colour</f>
        <v>Not Specified</v>
      </c>
      <c r="B45" s="24" t="str">
        <f>IF(MatP8874C20Code=0,"",MatP8874C20Code)</f>
        <v/>
      </c>
      <c r="C45" s="24" t="str">
        <f>MatP8874C20Desc</f>
        <v>Underlay Support Tray (1.5m)</v>
      </c>
      <c r="D45" s="31">
        <v>2</v>
      </c>
      <c r="E45" s="32">
        <f>MatP8874C20Price</f>
        <v>1.5</v>
      </c>
      <c r="F45" s="33" t="str">
        <f>MatP8874C20PerText</f>
        <v>Each</v>
      </c>
      <c r="G45" s="32">
        <f t="shared" si="0"/>
        <v>3</v>
      </c>
    </row>
    <row r="46" spans="1:7" x14ac:dyDescent="0.2">
      <c r="A46" s="24" t="str">
        <f>MatP8826C539Colour</f>
        <v>Not Specified</v>
      </c>
      <c r="B46" s="24" t="str">
        <f>IF(MatP8826C539Code=0,"",MatP8826C539Code)</f>
        <v/>
      </c>
      <c r="C46" s="24" t="str">
        <f>MatP8826C539Desc</f>
        <v>Metal Batten End Clips</v>
      </c>
      <c r="D46" s="31">
        <v>8</v>
      </c>
      <c r="E46" s="32">
        <f>MatP8826C539Price</f>
        <v>0.28000000000000003</v>
      </c>
      <c r="F46" s="33" t="str">
        <f>MatP8826C539PerText</f>
        <v>Each</v>
      </c>
      <c r="G46" s="32">
        <f t="shared" si="0"/>
        <v>2.2400000000000002</v>
      </c>
    </row>
    <row r="47" spans="1:7" x14ac:dyDescent="0.2">
      <c r="A47" s="24" t="str">
        <f>MatP8831C539Colour</f>
        <v>Not Specified</v>
      </c>
      <c r="B47" s="24" t="str">
        <f>IF(MatP8831C539Code=0,"",MatP8831C539Code)</f>
        <v/>
      </c>
      <c r="C47" s="24" t="str">
        <f>MatP8831C539Desc</f>
        <v>Eave Clip</v>
      </c>
      <c r="D47" s="31">
        <v>6</v>
      </c>
      <c r="E47" s="32">
        <f>MatP8831C539Price</f>
        <v>0.1</v>
      </c>
      <c r="F47" s="33" t="str">
        <f>MatP8831C539PerText</f>
        <v>Each</v>
      </c>
      <c r="G47" s="32">
        <f t="shared" si="0"/>
        <v>0.60000000000000009</v>
      </c>
    </row>
    <row r="48" spans="1:7" x14ac:dyDescent="0.2">
      <c r="A48" s="24" t="str">
        <f>MatP9318C0Colour</f>
        <v>Not Specified</v>
      </c>
      <c r="B48" s="24" t="str">
        <f>IF(MatP9318C0Code=0,"",MatP9318C0Code)</f>
        <v/>
      </c>
      <c r="C48" s="24" t="str">
        <f>MatP9318C0Desc</f>
        <v>45mm x 3.35mm Aluminium Nails</v>
      </c>
      <c r="D48" s="31">
        <v>1</v>
      </c>
      <c r="E48" s="32">
        <f>MatP9318C0Price</f>
        <v>7.28</v>
      </c>
      <c r="F48" s="33" t="str">
        <f>MatP9318C0PerText</f>
        <v>Kg</v>
      </c>
      <c r="G48" s="32">
        <f t="shared" si="0"/>
        <v>7.28</v>
      </c>
    </row>
    <row r="49" spans="1:7" x14ac:dyDescent="0.2">
      <c r="A49" s="24" t="str">
        <f>MatP9100C0Colour</f>
        <v>Not Specified</v>
      </c>
      <c r="B49" s="24" t="str">
        <f>IF(MatP9100C0Code=0,"",MatP9100C0Code)</f>
        <v/>
      </c>
      <c r="C49" s="24" t="str">
        <f>MatP9100C0Desc</f>
        <v>Batten Nails - 65mm x 3.35mm Galvanised</v>
      </c>
      <c r="D49" s="31">
        <v>1</v>
      </c>
      <c r="E49" s="32">
        <f>MatP9100C0Price</f>
        <v>4.5</v>
      </c>
      <c r="F49" s="33" t="str">
        <f>MatP9100C0PerText</f>
        <v>Kg</v>
      </c>
      <c r="G49" s="32">
        <f t="shared" si="0"/>
        <v>4.5</v>
      </c>
    </row>
    <row r="50" spans="1:7" x14ac:dyDescent="0.2">
      <c r="A50" s="24" t="str">
        <f>MatP9066C92Colour</f>
        <v>Not Specified</v>
      </c>
      <c r="B50" s="24" t="str">
        <f>IF(MatP9066C92Code=0,"",MatP9066C92Code)</f>
        <v/>
      </c>
      <c r="C50" s="24" t="str">
        <f>MatP9066C92Desc</f>
        <v>Lead Code 4 - 300mm (6m)</v>
      </c>
      <c r="D50" s="31">
        <v>3</v>
      </c>
      <c r="E50" s="32">
        <f>MatP9066C92Price</f>
        <v>15.21</v>
      </c>
      <c r="F50" s="33" t="str">
        <f>MatP9066C92PerText</f>
        <v>Metre</v>
      </c>
      <c r="G50" s="32">
        <f t="shared" si="0"/>
        <v>45.63</v>
      </c>
    </row>
    <row r="51" spans="1:7" x14ac:dyDescent="0.2">
      <c r="A51" s="24" t="str">
        <f>MatLeadRidgeApexSaddleColour</f>
        <v>Not Specified</v>
      </c>
      <c r="B51" s="24" t="str">
        <f>IF(MatLeadRidgeApexSaddleCode=0,"",MatLeadRidgeApexSaddleCode)</f>
        <v/>
      </c>
      <c r="C51" s="24" t="str">
        <f>MatLeadRidgeApexSaddleDesc</f>
        <v>Lead Ridge Apex Saddle</v>
      </c>
      <c r="D51" s="31">
        <v>1</v>
      </c>
      <c r="E51" s="32">
        <f>MatLeadRidgeApexSaddlePrice</f>
        <v>15</v>
      </c>
      <c r="F51" s="33" t="str">
        <f>MatLeadRidgeApexSaddlePerText</f>
        <v>Each</v>
      </c>
      <c r="G51" s="32">
        <f t="shared" si="0"/>
        <v>15</v>
      </c>
    </row>
    <row r="52" spans="1:7" x14ac:dyDescent="0.2">
      <c r="D52" s="31"/>
      <c r="E52" s="32"/>
      <c r="F52" s="33"/>
      <c r="G52" s="32"/>
    </row>
    <row r="53" spans="1:7" x14ac:dyDescent="0.2">
      <c r="F53" s="34" t="s">
        <v>5</v>
      </c>
      <c r="G53" s="35">
        <f>SUM(G36:G52)</f>
        <v>183.93999999999997</v>
      </c>
    </row>
    <row r="54" spans="1:7" x14ac:dyDescent="0.2">
      <c r="G54" s="34"/>
    </row>
    <row r="55" spans="1:7" x14ac:dyDescent="0.2">
      <c r="A55" s="25" t="s">
        <v>15</v>
      </c>
      <c r="B55" s="25"/>
      <c r="D55" s="25"/>
      <c r="E55" s="25"/>
      <c r="F55" s="25"/>
      <c r="G55" s="25"/>
    </row>
    <row r="57" spans="1:7" x14ac:dyDescent="0.2">
      <c r="A57" s="102" t="s">
        <v>6</v>
      </c>
      <c r="B57" s="102"/>
      <c r="C57" s="102"/>
      <c r="D57" s="34" t="s">
        <v>7</v>
      </c>
      <c r="E57" s="34" t="s">
        <v>9</v>
      </c>
      <c r="F57" s="34" t="s">
        <v>8</v>
      </c>
      <c r="G57" s="34" t="s">
        <v>16</v>
      </c>
    </row>
    <row r="58" spans="1:7" x14ac:dyDescent="0.2">
      <c r="A58" s="103" t="str">
        <f>LabP8815R6L1G1Desc</f>
        <v>Main Area</v>
      </c>
      <c r="B58" s="103"/>
      <c r="C58" s="103"/>
      <c r="D58" s="36">
        <f>LabP8815R6L1G1Rate</f>
        <v>9</v>
      </c>
      <c r="E58" s="37">
        <f>'CLY-Porch (Gable)'!Area</f>
        <v>2.1</v>
      </c>
      <c r="F58" s="27" t="str">
        <f xml:space="preserve"> "" &amp; LabP8815R6L1G1Per</f>
        <v>m²</v>
      </c>
      <c r="G58" s="36">
        <f t="shared" ref="G58:G64" si="1">D58 * E58</f>
        <v>18.900000000000002</v>
      </c>
    </row>
    <row r="59" spans="1:7" x14ac:dyDescent="0.2">
      <c r="A59" s="24" t="str">
        <f>LabP8815R0L1G2Desc</f>
        <v>Eave</v>
      </c>
      <c r="D59" s="36">
        <f>LabP8815R0L1G2Rate</f>
        <v>2.5</v>
      </c>
      <c r="E59" s="37">
        <f>'CLY-Porch (Gable)'!Eave</f>
        <v>1.8</v>
      </c>
      <c r="F59" s="27" t="str">
        <f xml:space="preserve"> "" &amp; LabP8815R0L1G2Per</f>
        <v>m</v>
      </c>
      <c r="G59" s="36">
        <f t="shared" si="1"/>
        <v>4.5</v>
      </c>
    </row>
    <row r="60" spans="1:7" x14ac:dyDescent="0.2">
      <c r="A60" s="24" t="str">
        <f>LabP8815R0L1G3Desc</f>
        <v>Verge</v>
      </c>
      <c r="D60" s="36">
        <f>LabP8815R0L1G3Rate</f>
        <v>2.5</v>
      </c>
      <c r="E60" s="37">
        <f>LeftVerge+RightVerge</f>
        <v>2.34</v>
      </c>
      <c r="F60" s="27" t="str">
        <f xml:space="preserve"> "" &amp; LabP8815R0L1G3Per</f>
        <v>m</v>
      </c>
      <c r="G60" s="36">
        <f t="shared" si="1"/>
        <v>5.85</v>
      </c>
    </row>
    <row r="61" spans="1:7" x14ac:dyDescent="0.2">
      <c r="A61" s="24" t="str">
        <f>LabP8815R0L1G8Desc</f>
        <v>Duo Ridge</v>
      </c>
      <c r="D61" s="36">
        <f>LabP8815R0L1G8Rate</f>
        <v>2.5</v>
      </c>
      <c r="E61" s="37">
        <f>'CLY-Porch (Gable)'!DuoRidge</f>
        <v>0.9</v>
      </c>
      <c r="F61" s="27" t="str">
        <f xml:space="preserve"> "" &amp; LabP8815R0L1G8Per</f>
        <v>m</v>
      </c>
      <c r="G61" s="36">
        <f t="shared" si="1"/>
        <v>2.25</v>
      </c>
    </row>
    <row r="62" spans="1:7" x14ac:dyDescent="0.2">
      <c r="A62" s="24" t="str">
        <f>LabP8815R0L1G10Desc</f>
        <v>Abut Courses</v>
      </c>
      <c r="D62" s="36">
        <f>LabP8815R0L1G10Rate</f>
        <v>5</v>
      </c>
      <c r="E62" s="37">
        <f>'CLY-Porch (Gable)'!AbutCourses</f>
        <v>2.34</v>
      </c>
      <c r="F62" s="27" t="str">
        <f xml:space="preserve"> "" &amp; LabP8815R0L1G10Per</f>
        <v>m</v>
      </c>
      <c r="G62" s="36">
        <f t="shared" si="1"/>
        <v>11.7</v>
      </c>
    </row>
    <row r="63" spans="1:7" x14ac:dyDescent="0.2">
      <c r="A63" s="24" t="str">
        <f>LabP8815R15L1G274Desc</f>
        <v>Step and Cover Flashing (Code 4)</v>
      </c>
      <c r="D63" s="36">
        <f>LabP8815R15L1G274Rate</f>
        <v>15</v>
      </c>
      <c r="E63" s="37">
        <v>2.34</v>
      </c>
      <c r="F63" s="27" t="str">
        <f xml:space="preserve"> "" &amp; LabP8815R15L1G274Per</f>
        <v>m</v>
      </c>
      <c r="G63" s="36">
        <f t="shared" si="1"/>
        <v>35.099999999999994</v>
      </c>
    </row>
    <row r="64" spans="1:7" x14ac:dyDescent="0.2">
      <c r="A64" s="24" t="str">
        <f>LabP8815R150LabLabourforPorchesDesc</f>
        <v>Labour for Porches</v>
      </c>
      <c r="D64" s="36">
        <f>LabP8815R150LabLabourforPorchesRate</f>
        <v>150</v>
      </c>
      <c r="E64" s="37">
        <v>1</v>
      </c>
      <c r="F64" s="27" t="str">
        <f xml:space="preserve"> "" &amp; LabP8815R150LabLabourforPorchesPer</f>
        <v/>
      </c>
      <c r="G64" s="36">
        <f t="shared" si="1"/>
        <v>150</v>
      </c>
    </row>
    <row r="65" spans="1:7" x14ac:dyDescent="0.2">
      <c r="D65" s="36"/>
      <c r="E65" s="37"/>
      <c r="F65" s="27"/>
      <c r="G65" s="36"/>
    </row>
    <row r="66" spans="1:7" x14ac:dyDescent="0.2">
      <c r="A66" s="103"/>
      <c r="B66" s="103"/>
      <c r="C66" s="103"/>
      <c r="D66" s="36"/>
      <c r="E66" s="37"/>
      <c r="G66" s="36"/>
    </row>
    <row r="67" spans="1:7" x14ac:dyDescent="0.2">
      <c r="F67" s="34" t="s">
        <v>5</v>
      </c>
      <c r="G67" s="35">
        <f>SUM(G58:G66)</f>
        <v>228.3</v>
      </c>
    </row>
    <row r="71" spans="1:7" x14ac:dyDescent="0.2">
      <c r="A71" s="34"/>
      <c r="B71" s="38"/>
    </row>
    <row r="73" spans="1:7" x14ac:dyDescent="0.2">
      <c r="A73" s="34"/>
      <c r="B73" s="38"/>
    </row>
    <row r="75" spans="1:7" x14ac:dyDescent="0.2">
      <c r="A75" s="34"/>
      <c r="B75" s="38"/>
    </row>
    <row r="77" spans="1:7" x14ac:dyDescent="0.2">
      <c r="A77" s="34"/>
      <c r="B77" s="38"/>
    </row>
    <row r="80" spans="1:7" x14ac:dyDescent="0.2">
      <c r="A80" s="34"/>
      <c r="B80" s="38"/>
      <c r="C80" s="39"/>
    </row>
    <row r="82" spans="1:3" x14ac:dyDescent="0.2">
      <c r="A82" s="34"/>
      <c r="B82" s="38"/>
    </row>
    <row r="84" spans="1:3" x14ac:dyDescent="0.2">
      <c r="A84" s="34"/>
      <c r="B84" s="38"/>
      <c r="C84" s="39"/>
    </row>
    <row r="86" spans="1:3" x14ac:dyDescent="0.2">
      <c r="A86" s="34"/>
      <c r="B86" s="38"/>
    </row>
    <row r="88" spans="1:3" x14ac:dyDescent="0.2">
      <c r="A88" s="34"/>
      <c r="B88" s="38"/>
    </row>
    <row r="91" spans="1:3" x14ac:dyDescent="0.2">
      <c r="A91" s="34"/>
      <c r="B91" s="38"/>
    </row>
    <row r="93" spans="1:3" x14ac:dyDescent="0.2">
      <c r="A93" s="34"/>
      <c r="B93" s="38"/>
    </row>
    <row r="95" spans="1:3" x14ac:dyDescent="0.2">
      <c r="A95" s="34"/>
      <c r="B95" s="38"/>
      <c r="C95" s="39"/>
    </row>
    <row r="98" spans="1:3" x14ac:dyDescent="0.2">
      <c r="A98" s="34"/>
      <c r="B98" s="40"/>
      <c r="C98" s="23"/>
    </row>
    <row r="101" spans="1:3" x14ac:dyDescent="0.2">
      <c r="A101" s="39"/>
      <c r="B101" s="41"/>
    </row>
  </sheetData>
  <mergeCells count="5">
    <mergeCell ref="B4:F4"/>
    <mergeCell ref="B5:F5"/>
    <mergeCell ref="A57:C57"/>
    <mergeCell ref="A58:C58"/>
    <mergeCell ref="A66:C66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086A3-56E8-48A6-AC20-02B5D824669B}">
  <dimension ref="A1:G102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169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139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51.38</v>
      </c>
      <c r="C9" s="23"/>
      <c r="D9" s="26"/>
    </row>
    <row r="10" spans="1:7" x14ac:dyDescent="0.2">
      <c r="A10" s="23" t="s">
        <v>114</v>
      </c>
      <c r="B10" s="24">
        <v>10.4</v>
      </c>
      <c r="C10" s="23"/>
      <c r="D10" s="26"/>
    </row>
    <row r="11" spans="1:7" x14ac:dyDescent="0.2">
      <c r="A11" s="23" t="s">
        <v>115</v>
      </c>
      <c r="B11" s="24">
        <v>4.9400000000000004</v>
      </c>
      <c r="C11" s="23"/>
      <c r="D11" s="26"/>
    </row>
    <row r="12" spans="1:7" x14ac:dyDescent="0.2">
      <c r="A12" s="23" t="s">
        <v>116</v>
      </c>
      <c r="B12" s="24">
        <v>4.9400000000000004</v>
      </c>
      <c r="C12" s="23"/>
      <c r="D12" s="26"/>
    </row>
    <row r="13" spans="1:7" x14ac:dyDescent="0.2">
      <c r="A13" s="23" t="s">
        <v>117</v>
      </c>
      <c r="B13" s="24">
        <v>5.2</v>
      </c>
      <c r="C13" s="23"/>
      <c r="D13" s="26"/>
    </row>
    <row r="14" spans="1:7" x14ac:dyDescent="0.2">
      <c r="A14" s="23" t="s">
        <v>118</v>
      </c>
      <c r="B14" s="24">
        <v>4.9400000000000004</v>
      </c>
      <c r="C14" s="23"/>
      <c r="D14" s="26"/>
    </row>
    <row r="15" spans="1:7" x14ac:dyDescent="0.2">
      <c r="A15" s="23" t="s">
        <v>119</v>
      </c>
      <c r="B15" s="24">
        <v>600</v>
      </c>
      <c r="C15" s="23"/>
      <c r="D15" s="26"/>
    </row>
    <row r="16" spans="1:7" x14ac:dyDescent="0.2">
      <c r="A16" s="23" t="s">
        <v>120</v>
      </c>
      <c r="B16" s="24">
        <v>35</v>
      </c>
      <c r="C16" s="23"/>
      <c r="D16" s="26"/>
    </row>
    <row r="17" spans="1:7" x14ac:dyDescent="0.2">
      <c r="A17" s="23"/>
      <c r="C17" s="23"/>
      <c r="D17" s="26"/>
    </row>
    <row r="18" spans="1:7" x14ac:dyDescent="0.2">
      <c r="A18" s="23"/>
      <c r="B18" s="27"/>
      <c r="C18" s="23"/>
      <c r="D18" s="26"/>
    </row>
    <row r="19" spans="1:7" x14ac:dyDescent="0.2">
      <c r="A19" s="28" t="s">
        <v>10</v>
      </c>
      <c r="B19" s="28"/>
      <c r="C19" s="28"/>
      <c r="D19" s="28"/>
      <c r="E19" s="28"/>
      <c r="F19" s="28"/>
      <c r="G19" s="28"/>
    </row>
    <row r="20" spans="1:7" x14ac:dyDescent="0.2">
      <c r="A20" s="28"/>
      <c r="B20" s="28"/>
      <c r="C20" s="28"/>
      <c r="D20" s="28"/>
      <c r="E20" s="28"/>
      <c r="F20" s="28"/>
      <c r="G20" s="28"/>
    </row>
    <row r="21" spans="1:7" x14ac:dyDescent="0.2">
      <c r="A21" s="29" t="s">
        <v>121</v>
      </c>
      <c r="B21" s="24" t="s">
        <v>122</v>
      </c>
      <c r="C21" s="29"/>
      <c r="D21" s="29"/>
      <c r="E21" s="29"/>
      <c r="F21" s="29"/>
    </row>
    <row r="22" spans="1:7" x14ac:dyDescent="0.2">
      <c r="A22" s="29" t="s">
        <v>123</v>
      </c>
      <c r="B22" s="24" t="s">
        <v>124</v>
      </c>
      <c r="C22" s="29"/>
      <c r="D22" s="29"/>
      <c r="E22" s="29"/>
      <c r="F22" s="29"/>
    </row>
    <row r="23" spans="1:7" x14ac:dyDescent="0.2">
      <c r="A23" s="29"/>
      <c r="B23" s="24" t="s">
        <v>125</v>
      </c>
      <c r="C23" s="29"/>
      <c r="D23" s="29"/>
      <c r="E23" s="29"/>
      <c r="F23" s="29"/>
    </row>
    <row r="24" spans="1:7" x14ac:dyDescent="0.2">
      <c r="A24" s="29" t="s">
        <v>126</v>
      </c>
      <c r="B24" s="24" t="s">
        <v>127</v>
      </c>
      <c r="C24" s="29"/>
      <c r="D24" s="29"/>
      <c r="E24" s="29"/>
      <c r="F24" s="29"/>
    </row>
    <row r="25" spans="1:7" x14ac:dyDescent="0.2">
      <c r="A25" s="29">
        <v>20</v>
      </c>
      <c r="B25" s="24" t="s">
        <v>128</v>
      </c>
      <c r="C25" s="29"/>
      <c r="D25" s="29"/>
      <c r="E25" s="29"/>
      <c r="F25" s="29"/>
    </row>
    <row r="26" spans="1:7" x14ac:dyDescent="0.2">
      <c r="A26" s="29" t="s">
        <v>129</v>
      </c>
      <c r="B26" s="24" t="s">
        <v>130</v>
      </c>
      <c r="C26" s="29"/>
      <c r="D26" s="29"/>
      <c r="E26" s="29"/>
      <c r="F26" s="29"/>
    </row>
    <row r="27" spans="1:7" x14ac:dyDescent="0.2">
      <c r="A27" s="29"/>
      <c r="B27" s="24" t="s">
        <v>131</v>
      </c>
      <c r="C27" s="29"/>
      <c r="D27" s="29"/>
      <c r="E27" s="29"/>
      <c r="F27" s="29"/>
    </row>
    <row r="28" spans="1:7" x14ac:dyDescent="0.2">
      <c r="A28" s="29" t="s">
        <v>132</v>
      </c>
      <c r="B28" s="24" t="s">
        <v>133</v>
      </c>
      <c r="C28" s="29"/>
      <c r="D28" s="29"/>
      <c r="E28" s="29"/>
      <c r="F28" s="29"/>
    </row>
    <row r="29" spans="1:7" x14ac:dyDescent="0.2">
      <c r="A29" s="29" t="s">
        <v>134</v>
      </c>
      <c r="B29" s="24" t="s">
        <v>135</v>
      </c>
      <c r="C29" s="29"/>
      <c r="D29" s="29"/>
      <c r="E29" s="29"/>
      <c r="F29" s="29"/>
    </row>
    <row r="30" spans="1:7" x14ac:dyDescent="0.2">
      <c r="A30" s="29" t="s">
        <v>136</v>
      </c>
      <c r="B30" s="24" t="s">
        <v>137</v>
      </c>
      <c r="C30" s="29"/>
      <c r="D30" s="29"/>
      <c r="E30" s="29"/>
      <c r="F30" s="29"/>
    </row>
    <row r="31" spans="1:7" x14ac:dyDescent="0.2">
      <c r="A31" s="29"/>
      <c r="C31" s="29"/>
      <c r="D31" s="29"/>
      <c r="E31" s="29"/>
      <c r="F31" s="29"/>
    </row>
    <row r="32" spans="1:7" x14ac:dyDescent="0.2">
      <c r="A32" s="29"/>
      <c r="C32" s="29"/>
      <c r="D32" s="29"/>
      <c r="E32" s="29"/>
      <c r="F32" s="29"/>
    </row>
    <row r="33" spans="1:7" x14ac:dyDescent="0.2">
      <c r="A33" s="25" t="s">
        <v>14</v>
      </c>
      <c r="B33" s="25"/>
      <c r="C33" s="25"/>
      <c r="D33" s="25"/>
      <c r="E33" s="25"/>
      <c r="F33" s="25"/>
      <c r="G33" s="25"/>
    </row>
    <row r="35" spans="1:7" s="29" customFormat="1" x14ac:dyDescent="0.2">
      <c r="A35" s="29" t="s">
        <v>25</v>
      </c>
      <c r="B35" s="29" t="s">
        <v>38</v>
      </c>
      <c r="C35" s="29" t="s">
        <v>2</v>
      </c>
      <c r="D35" s="30" t="s">
        <v>9</v>
      </c>
      <c r="E35" s="30" t="s">
        <v>3</v>
      </c>
      <c r="F35" s="30" t="s">
        <v>4</v>
      </c>
      <c r="G35" s="30" t="s">
        <v>16</v>
      </c>
    </row>
    <row r="36" spans="1:7" x14ac:dyDescent="0.2">
      <c r="A36" s="24" t="str">
        <f>MatP8815C0Colour</f>
        <v>Not Specified</v>
      </c>
      <c r="B36" s="24" t="str">
        <f>IF(MatP8815C0Code=0,"",MatP8815C0Code)</f>
        <v/>
      </c>
      <c r="C36" s="24" t="str">
        <f>MatP8815C0Desc</f>
        <v>TLE Tile</v>
      </c>
      <c r="D36" s="31">
        <v>556</v>
      </c>
      <c r="E36" s="32">
        <f>MatP8815C0Price</f>
        <v>1.2</v>
      </c>
      <c r="F36" s="33" t="str">
        <f>MatP8815C0PerText</f>
        <v>Each</v>
      </c>
      <c r="G36" s="32">
        <f t="shared" ref="G36:G54" si="0">D36 * E36</f>
        <v>667.19999999999993</v>
      </c>
    </row>
    <row r="37" spans="1:7" x14ac:dyDescent="0.2">
      <c r="A37" s="24" t="str">
        <f>MatP8870C0Colour</f>
        <v>Not Specified</v>
      </c>
      <c r="B37" s="24" t="str">
        <f>IF(MatP8870C0Code=0,"",MatP8870C0Code)</f>
        <v/>
      </c>
      <c r="C37" s="24" t="str">
        <f>MatP8870C0Desc</f>
        <v>Ridge Tile (450mm)</v>
      </c>
      <c r="D37" s="31">
        <v>12</v>
      </c>
      <c r="E37" s="32">
        <f>MatP8870C0Price</f>
        <v>3.64</v>
      </c>
      <c r="F37" s="33" t="str">
        <f>MatP8870C0PerText</f>
        <v>Each</v>
      </c>
      <c r="G37" s="32">
        <f t="shared" si="0"/>
        <v>43.68</v>
      </c>
    </row>
    <row r="38" spans="1:7" x14ac:dyDescent="0.2">
      <c r="A38" s="24" t="str">
        <f>MatP10135C0Colour</f>
        <v>Not Specified</v>
      </c>
      <c r="B38" s="24" t="str">
        <f>IF(MatP10135C0Code=0,"",MatP10135C0Code)</f>
        <v/>
      </c>
      <c r="C38" s="24" t="str">
        <f>MatP10135C0Desc</f>
        <v>VP300 Vapour Permeable Underlay (50m x 1m)</v>
      </c>
      <c r="D38" s="31">
        <v>2</v>
      </c>
      <c r="E38" s="32">
        <f>MatP10135C0Price</f>
        <v>35</v>
      </c>
      <c r="F38" s="33" t="str">
        <f>MatP10135C0PerText</f>
        <v>Roll</v>
      </c>
      <c r="G38" s="32">
        <f t="shared" si="0"/>
        <v>70</v>
      </c>
    </row>
    <row r="39" spans="1:7" x14ac:dyDescent="0.2">
      <c r="A39" s="24" t="str">
        <f>MatP9008C0Colour</f>
        <v>Not Specified</v>
      </c>
      <c r="B39" s="24" t="str">
        <f>IF(MatP9008C0Code=0,"",MatP9008C0Code)</f>
        <v/>
      </c>
      <c r="C39" s="24" t="str">
        <f>MatP9008C0Desc</f>
        <v>Battens (50mm x 25mm)</v>
      </c>
      <c r="D39" s="31">
        <v>176</v>
      </c>
      <c r="E39" s="32">
        <f>MatP9008C0Price</f>
        <v>0.9</v>
      </c>
      <c r="F39" s="33" t="str">
        <f>MatP9008C0PerText</f>
        <v>Metre</v>
      </c>
      <c r="G39" s="32">
        <f t="shared" si="0"/>
        <v>158.4</v>
      </c>
    </row>
    <row r="40" spans="1:7" x14ac:dyDescent="0.2">
      <c r="A40" s="24" t="str">
        <f>MatP8879C15Colour</f>
        <v>Not Specified</v>
      </c>
      <c r="B40" s="24" t="str">
        <f>IF(MatP8879C15Code=0,"",MatP8879C15Code)</f>
        <v/>
      </c>
      <c r="C40" s="24" t="str">
        <f>MatP8879C15Desc</f>
        <v>Universal Dry Ridge/Hip System (6m)</v>
      </c>
      <c r="D40" s="31">
        <v>1</v>
      </c>
      <c r="E40" s="32">
        <f>MatP8879C15Price</f>
        <v>28.09</v>
      </c>
      <c r="F40" s="33" t="str">
        <f>MatP8879C15PerText</f>
        <v>Pack</v>
      </c>
      <c r="G40" s="32">
        <f t="shared" si="0"/>
        <v>28.09</v>
      </c>
    </row>
    <row r="41" spans="1:7" x14ac:dyDescent="0.2">
      <c r="A41" s="24" t="str">
        <f>MatP8857C0Colour</f>
        <v>Not Specified</v>
      </c>
      <c r="B41" s="24" t="str">
        <f>IF(MatP8857C0Code=0,"",MatP8857C0Code)</f>
        <v/>
      </c>
      <c r="C41" s="24" t="str">
        <f>MatP8857C0Desc</f>
        <v>LH Uni-Fix Dry Verge Unit</v>
      </c>
      <c r="D41" s="31">
        <v>30</v>
      </c>
      <c r="E41" s="32">
        <f>MatP8857C0Price</f>
        <v>1.1000000000000001</v>
      </c>
      <c r="F41" s="33" t="str">
        <f>MatP8857C0PerText</f>
        <v>Each</v>
      </c>
      <c r="G41" s="32">
        <f t="shared" si="0"/>
        <v>33</v>
      </c>
    </row>
    <row r="42" spans="1:7" x14ac:dyDescent="0.2">
      <c r="A42" s="24" t="str">
        <f>MatP8869C0Colour</f>
        <v>Not Specified</v>
      </c>
      <c r="B42" s="24" t="str">
        <f>IF(MatP8869C0Code=0,"",MatP8869C0Code)</f>
        <v/>
      </c>
      <c r="C42" s="24" t="str">
        <f>MatP8869C0Desc</f>
        <v>RH Uni-Fix Dry Verge Unit</v>
      </c>
      <c r="D42" s="31">
        <v>30</v>
      </c>
      <c r="E42" s="32">
        <f>MatP8869C0Price</f>
        <v>1.1000000000000001</v>
      </c>
      <c r="F42" s="33" t="str">
        <f>MatP8869C0PerText</f>
        <v>Each</v>
      </c>
      <c r="G42" s="32">
        <f t="shared" si="0"/>
        <v>33</v>
      </c>
    </row>
    <row r="43" spans="1:7" x14ac:dyDescent="0.2">
      <c r="A43" s="24" t="str">
        <f>MatP8877C0Colour</f>
        <v>Not Specified</v>
      </c>
      <c r="B43" s="24" t="str">
        <f>IF(MatP8877C0Code=0,"",MatP8877C0Code)</f>
        <v/>
      </c>
      <c r="C43" s="24" t="str">
        <f>MatP8877C0Desc</f>
        <v>Uni-Fix Universal Ridge End Cap</v>
      </c>
      <c r="D43" s="31">
        <v>1</v>
      </c>
      <c r="E43" s="32">
        <f>MatP8877C0Price</f>
        <v>1.6</v>
      </c>
      <c r="F43" s="33" t="str">
        <f>MatP8877C0PerText</f>
        <v>Each</v>
      </c>
      <c r="G43" s="32">
        <f t="shared" si="0"/>
        <v>1.6</v>
      </c>
    </row>
    <row r="44" spans="1:7" x14ac:dyDescent="0.2">
      <c r="A44" s="24" t="str">
        <f>MatP8830C20Colour</f>
        <v>Not Specified</v>
      </c>
      <c r="B44" s="24" t="str">
        <f>IF(MatP8830C20Code=0,"",MatP8830C20Code)</f>
        <v/>
      </c>
      <c r="C44" s="24" t="str">
        <f>MatP8830C20Desc</f>
        <v>Dry Verge Starter Unit</v>
      </c>
      <c r="D44" s="31">
        <v>2</v>
      </c>
      <c r="E44" s="32">
        <f>MatP8830C20Price</f>
        <v>1.51</v>
      </c>
      <c r="F44" s="33" t="str">
        <f>MatP8830C20PerText</f>
        <v>Each</v>
      </c>
      <c r="G44" s="32">
        <f t="shared" si="0"/>
        <v>3.02</v>
      </c>
    </row>
    <row r="45" spans="1:7" x14ac:dyDescent="0.2">
      <c r="A45" s="24" t="str">
        <f>MatP8281C0Colour</f>
        <v>Not Specified</v>
      </c>
      <c r="B45" s="24" t="str">
        <f>IF(MatP8281C0Code=0,"",MatP8281C0Code)</f>
        <v/>
      </c>
      <c r="C45" s="24" t="str">
        <f>MatP8281C0Desc</f>
        <v>Generic Eave Insulation (1m)</v>
      </c>
      <c r="D45" s="31">
        <v>11</v>
      </c>
      <c r="E45" s="32">
        <f>MatP8281C0Price</f>
        <v>5</v>
      </c>
      <c r="F45" s="33" t="str">
        <f>MatP8281C0PerText</f>
        <v>Each</v>
      </c>
      <c r="G45" s="32">
        <f t="shared" si="0"/>
        <v>55</v>
      </c>
    </row>
    <row r="46" spans="1:7" x14ac:dyDescent="0.2">
      <c r="A46" s="24" t="str">
        <f>MatP8820C20Colour</f>
        <v>Not Specified</v>
      </c>
      <c r="B46" s="24" t="str">
        <f>IF(MatP8820C20Code=0,"",MatP8820C20Code)</f>
        <v/>
      </c>
      <c r="C46" s="24" t="str">
        <f>MatP8820C20Desc</f>
        <v>10mm Over Fascia Vent (1m)</v>
      </c>
      <c r="D46" s="31">
        <v>11</v>
      </c>
      <c r="E46" s="32">
        <f>MatP8820C20Price</f>
        <v>1.7</v>
      </c>
      <c r="F46" s="33" t="str">
        <f>MatP8820C20PerText</f>
        <v>Each</v>
      </c>
      <c r="G46" s="32">
        <f t="shared" si="0"/>
        <v>18.7</v>
      </c>
    </row>
    <row r="47" spans="1:7" x14ac:dyDescent="0.2">
      <c r="A47" s="24" t="str">
        <f>MatP8624C0Colour</f>
        <v>Not Specified</v>
      </c>
      <c r="B47" s="24" t="str">
        <f>IF(MatP8624C0Code=0,"",MatP8624C0Code)</f>
        <v/>
      </c>
      <c r="C47" s="24" t="str">
        <f>MatP8624C0Desc</f>
        <v>Generic Party Wall Insulation (1m)</v>
      </c>
      <c r="D47" s="31">
        <v>5</v>
      </c>
      <c r="E47" s="32">
        <f>MatP8624C0Price</f>
        <v>5</v>
      </c>
      <c r="F47" s="33" t="str">
        <f>MatP8624C0PerText</f>
        <v>Each</v>
      </c>
      <c r="G47" s="32">
        <f t="shared" si="0"/>
        <v>25</v>
      </c>
    </row>
    <row r="48" spans="1:7" x14ac:dyDescent="0.2">
      <c r="A48" s="24" t="str">
        <f>MatP8866C20Colour</f>
        <v>Not Specified</v>
      </c>
      <c r="B48" s="24" t="str">
        <f>IF(MatP8866C20Code=0,"",MatP8866C20Code)</f>
        <v/>
      </c>
      <c r="C48" s="24" t="str">
        <f>MatP8866C20Desc</f>
        <v>Rafter Roll (6m x 600mm)</v>
      </c>
      <c r="D48" s="31">
        <v>2</v>
      </c>
      <c r="E48" s="32">
        <f>MatP8866C20Price</f>
        <v>9.5</v>
      </c>
      <c r="F48" s="33" t="str">
        <f>MatP8866C20PerText</f>
        <v>Each</v>
      </c>
      <c r="G48" s="32">
        <f t="shared" si="0"/>
        <v>19</v>
      </c>
    </row>
    <row r="49" spans="1:7" x14ac:dyDescent="0.2">
      <c r="A49" s="24" t="str">
        <f>MatP8874C20Colour</f>
        <v>Not Specified</v>
      </c>
      <c r="B49" s="24" t="str">
        <f>IF(MatP8874C20Code=0,"",MatP8874C20Code)</f>
        <v/>
      </c>
      <c r="C49" s="24" t="str">
        <f>MatP8874C20Desc</f>
        <v>Underlay Support Tray (1.5m)</v>
      </c>
      <c r="D49" s="31">
        <v>7</v>
      </c>
      <c r="E49" s="32">
        <f>MatP8874C20Price</f>
        <v>1.5</v>
      </c>
      <c r="F49" s="33" t="str">
        <f>MatP8874C20PerText</f>
        <v>Each</v>
      </c>
      <c r="G49" s="32">
        <f t="shared" si="0"/>
        <v>10.5</v>
      </c>
    </row>
    <row r="50" spans="1:7" x14ac:dyDescent="0.2">
      <c r="A50" s="24" t="str">
        <f>MatP8872C539Colour</f>
        <v>Not Specified</v>
      </c>
      <c r="B50" s="24" t="str">
        <f>IF(MatP8872C539Code=0,"",MatP8872C539Code)</f>
        <v/>
      </c>
      <c r="C50" s="24" t="str">
        <f>MatP8872C539Desc</f>
        <v>Sidelock Tile Clips (TLE)</v>
      </c>
      <c r="D50" s="31">
        <v>219</v>
      </c>
      <c r="E50" s="32">
        <f>MatP8872C539Price</f>
        <v>7.0000000000000007E-2</v>
      </c>
      <c r="F50" s="33" t="str">
        <f>MatP8872C539PerText</f>
        <v>Each</v>
      </c>
      <c r="G50" s="32">
        <f t="shared" si="0"/>
        <v>15.330000000000002</v>
      </c>
    </row>
    <row r="51" spans="1:7" x14ac:dyDescent="0.2">
      <c r="A51" s="24" t="str">
        <f>MatP8826C539Colour</f>
        <v>Not Specified</v>
      </c>
      <c r="B51" s="24" t="str">
        <f>IF(MatP8826C539Code=0,"",MatP8826C539Code)</f>
        <v/>
      </c>
      <c r="C51" s="24" t="str">
        <f>MatP8826C539Desc</f>
        <v>Metal Batten End Clips</v>
      </c>
      <c r="D51" s="31">
        <v>30</v>
      </c>
      <c r="E51" s="32">
        <f>MatP8826C539Price</f>
        <v>0.28000000000000003</v>
      </c>
      <c r="F51" s="33" t="str">
        <f>MatP8826C539PerText</f>
        <v>Each</v>
      </c>
      <c r="G51" s="32">
        <f t="shared" si="0"/>
        <v>8.4</v>
      </c>
    </row>
    <row r="52" spans="1:7" x14ac:dyDescent="0.2">
      <c r="A52" s="24" t="str">
        <f>MatP8831C539Colour</f>
        <v>Not Specified</v>
      </c>
      <c r="B52" s="24" t="str">
        <f>IF(MatP8831C539Code=0,"",MatP8831C539Code)</f>
        <v/>
      </c>
      <c r="C52" s="24" t="str">
        <f>MatP8831C539Desc</f>
        <v>Eave Clip</v>
      </c>
      <c r="D52" s="31">
        <v>36</v>
      </c>
      <c r="E52" s="32">
        <f>MatP8831C539Price</f>
        <v>0.1</v>
      </c>
      <c r="F52" s="33" t="str">
        <f>MatP8831C539PerText</f>
        <v>Each</v>
      </c>
      <c r="G52" s="32">
        <f t="shared" si="0"/>
        <v>3.6</v>
      </c>
    </row>
    <row r="53" spans="1:7" x14ac:dyDescent="0.2">
      <c r="A53" s="24" t="str">
        <f>MatP9318C0Colour</f>
        <v>Not Specified</v>
      </c>
      <c r="B53" s="24" t="str">
        <f>IF(MatP9318C0Code=0,"",MatP9318C0Code)</f>
        <v/>
      </c>
      <c r="C53" s="24" t="str">
        <f>MatP9318C0Desc</f>
        <v>45mm x 3.35mm Aluminium Nails</v>
      </c>
      <c r="D53" s="31">
        <v>2</v>
      </c>
      <c r="E53" s="32">
        <f>MatP9318C0Price</f>
        <v>7.28</v>
      </c>
      <c r="F53" s="33" t="str">
        <f>MatP9318C0PerText</f>
        <v>Kg</v>
      </c>
      <c r="G53" s="32">
        <f t="shared" si="0"/>
        <v>14.56</v>
      </c>
    </row>
    <row r="54" spans="1:7" x14ac:dyDescent="0.2">
      <c r="A54" s="24" t="str">
        <f>MatP9100C0Colour</f>
        <v>Not Specified</v>
      </c>
      <c r="B54" s="24" t="str">
        <f>IF(MatP9100C0Code=0,"",MatP9100C0Code)</f>
        <v/>
      </c>
      <c r="C54" s="24" t="str">
        <f>MatP9100C0Desc</f>
        <v>Batten Nails - 65mm x 3.35mm Galvanised</v>
      </c>
      <c r="D54" s="31">
        <v>2</v>
      </c>
      <c r="E54" s="32">
        <f>MatP9100C0Price</f>
        <v>4.5</v>
      </c>
      <c r="F54" s="33" t="str">
        <f>MatP9100C0PerText</f>
        <v>Kg</v>
      </c>
      <c r="G54" s="32">
        <f t="shared" si="0"/>
        <v>9</v>
      </c>
    </row>
    <row r="55" spans="1:7" x14ac:dyDescent="0.2">
      <c r="D55" s="31"/>
      <c r="E55" s="32"/>
      <c r="F55" s="33"/>
      <c r="G55" s="32"/>
    </row>
    <row r="56" spans="1:7" x14ac:dyDescent="0.2">
      <c r="F56" s="34" t="s">
        <v>5</v>
      </c>
      <c r="G56" s="35">
        <f>SUM(G36:G55)</f>
        <v>1217.0799999999997</v>
      </c>
    </row>
    <row r="57" spans="1:7" x14ac:dyDescent="0.2">
      <c r="G57" s="34"/>
    </row>
    <row r="58" spans="1:7" x14ac:dyDescent="0.2">
      <c r="A58" s="25" t="s">
        <v>15</v>
      </c>
      <c r="B58" s="25"/>
      <c r="D58" s="25"/>
      <c r="E58" s="25"/>
      <c r="F58" s="25"/>
      <c r="G58" s="25"/>
    </row>
    <row r="60" spans="1:7" x14ac:dyDescent="0.2">
      <c r="A60" s="102" t="s">
        <v>6</v>
      </c>
      <c r="B60" s="102"/>
      <c r="C60" s="102"/>
      <c r="D60" s="34" t="s">
        <v>7</v>
      </c>
      <c r="E60" s="34" t="s">
        <v>9</v>
      </c>
      <c r="F60" s="34" t="s">
        <v>8</v>
      </c>
      <c r="G60" s="34" t="s">
        <v>16</v>
      </c>
    </row>
    <row r="61" spans="1:7" x14ac:dyDescent="0.2">
      <c r="A61" s="103" t="str">
        <f>LabP8815R6L1G1Desc</f>
        <v>Main Area</v>
      </c>
      <c r="B61" s="103"/>
      <c r="C61" s="103"/>
      <c r="D61" s="36">
        <f>LabP8815R6L1G1Rate</f>
        <v>9</v>
      </c>
      <c r="E61" s="37">
        <f>'HNB-END-Main Roof'!Area</f>
        <v>51.38</v>
      </c>
      <c r="F61" s="27" t="str">
        <f xml:space="preserve"> "" &amp; LabP8815R6L1G1Per</f>
        <v>m²</v>
      </c>
      <c r="G61" s="36">
        <f>D61 * E61</f>
        <v>462.42</v>
      </c>
    </row>
    <row r="62" spans="1:7" x14ac:dyDescent="0.2">
      <c r="A62" s="24" t="str">
        <f>LabP8815R0L1G2Desc</f>
        <v>Eave</v>
      </c>
      <c r="D62" s="36">
        <f>LabP8815R0L1G2Rate</f>
        <v>2.5</v>
      </c>
      <c r="E62" s="37">
        <f>'HNB-END-Main Roof'!Eave</f>
        <v>10.4</v>
      </c>
      <c r="F62" s="27" t="str">
        <f xml:space="preserve"> "" &amp; LabP8815R0L1G2Per</f>
        <v>m</v>
      </c>
      <c r="G62" s="36">
        <f>D62 * E62</f>
        <v>26</v>
      </c>
    </row>
    <row r="63" spans="1:7" x14ac:dyDescent="0.2">
      <c r="A63" s="24" t="str">
        <f>LabP8815R0L1G3Desc</f>
        <v>Verge</v>
      </c>
      <c r="D63" s="36">
        <f>LabP8815R0L1G3Rate</f>
        <v>2.5</v>
      </c>
      <c r="E63" s="37">
        <f>LeftVerge+RightVerge</f>
        <v>9.8800000000000008</v>
      </c>
      <c r="F63" s="27" t="str">
        <f xml:space="preserve"> "" &amp; LabP8815R0L1G3Per</f>
        <v>m</v>
      </c>
      <c r="G63" s="36">
        <f>D63 * E63</f>
        <v>24.700000000000003</v>
      </c>
    </row>
    <row r="64" spans="1:7" x14ac:dyDescent="0.2">
      <c r="A64" s="24" t="str">
        <f>LabP8815R0L1G8Desc</f>
        <v>Duo Ridge</v>
      </c>
      <c r="D64" s="36">
        <f>LabP8815R0L1G8Rate</f>
        <v>2.5</v>
      </c>
      <c r="E64" s="37">
        <f>'HNB-END-Main Roof'!DuoRidge</f>
        <v>5.2</v>
      </c>
      <c r="F64" s="27" t="str">
        <f xml:space="preserve"> "" &amp; LabP8815R0L1G8Per</f>
        <v>m</v>
      </c>
      <c r="G64" s="36">
        <f>D64 * E64</f>
        <v>13</v>
      </c>
    </row>
    <row r="65" spans="1:7" x14ac:dyDescent="0.2">
      <c r="A65" s="24" t="str">
        <f>LabP8815R0L1G241Desc</f>
        <v>Party Wall Insulation</v>
      </c>
      <c r="D65" s="36">
        <f>LabP8815R0L1G241Rate</f>
        <v>1.5</v>
      </c>
      <c r="E65" s="37">
        <v>4.9400000000000004</v>
      </c>
      <c r="F65" s="27" t="str">
        <f xml:space="preserve"> "" &amp; LabP8815R0L1G241Per</f>
        <v>m</v>
      </c>
      <c r="G65" s="36">
        <f>D65 * E65</f>
        <v>7.41</v>
      </c>
    </row>
    <row r="66" spans="1:7" x14ac:dyDescent="0.2">
      <c r="D66" s="36"/>
      <c r="E66" s="37"/>
      <c r="F66" s="27"/>
      <c r="G66" s="36"/>
    </row>
    <row r="67" spans="1:7" x14ac:dyDescent="0.2">
      <c r="A67" s="103"/>
      <c r="B67" s="103"/>
      <c r="C67" s="103"/>
      <c r="D67" s="36"/>
      <c r="E67" s="37"/>
      <c r="G67" s="36"/>
    </row>
    <row r="68" spans="1:7" x14ac:dyDescent="0.2">
      <c r="F68" s="34" t="s">
        <v>5</v>
      </c>
      <c r="G68" s="35">
        <f>SUM(G61:G67)</f>
        <v>533.53</v>
      </c>
    </row>
    <row r="72" spans="1:7" x14ac:dyDescent="0.2">
      <c r="A72" s="34"/>
      <c r="B72" s="38"/>
    </row>
    <row r="74" spans="1:7" x14ac:dyDescent="0.2">
      <c r="A74" s="34"/>
      <c r="B74" s="38"/>
    </row>
    <row r="76" spans="1:7" x14ac:dyDescent="0.2">
      <c r="A76" s="34"/>
      <c r="B76" s="38"/>
    </row>
    <row r="78" spans="1:7" x14ac:dyDescent="0.2">
      <c r="A78" s="34"/>
      <c r="B78" s="38"/>
    </row>
    <row r="81" spans="1:3" x14ac:dyDescent="0.2">
      <c r="A81" s="34"/>
      <c r="B81" s="38"/>
      <c r="C81" s="39"/>
    </row>
    <row r="83" spans="1:3" x14ac:dyDescent="0.2">
      <c r="A83" s="34"/>
      <c r="B83" s="38"/>
    </row>
    <row r="85" spans="1:3" x14ac:dyDescent="0.2">
      <c r="A85" s="34"/>
      <c r="B85" s="38"/>
      <c r="C85" s="39"/>
    </row>
    <row r="87" spans="1:3" x14ac:dyDescent="0.2">
      <c r="A87" s="34"/>
      <c r="B87" s="38"/>
    </row>
    <row r="89" spans="1:3" x14ac:dyDescent="0.2">
      <c r="A89" s="34"/>
      <c r="B89" s="38"/>
    </row>
    <row r="92" spans="1:3" x14ac:dyDescent="0.2">
      <c r="A92" s="34"/>
      <c r="B92" s="38"/>
    </row>
    <row r="94" spans="1:3" x14ac:dyDescent="0.2">
      <c r="A94" s="34"/>
      <c r="B94" s="38"/>
    </row>
    <row r="96" spans="1:3" x14ac:dyDescent="0.2">
      <c r="A96" s="34"/>
      <c r="B96" s="38"/>
      <c r="C96" s="39"/>
    </row>
    <row r="99" spans="1:3" x14ac:dyDescent="0.2">
      <c r="A99" s="34"/>
      <c r="B99" s="40"/>
      <c r="C99" s="23"/>
    </row>
    <row r="102" spans="1:3" x14ac:dyDescent="0.2">
      <c r="A102" s="39"/>
      <c r="B102" s="41"/>
    </row>
  </sheetData>
  <mergeCells count="5">
    <mergeCell ref="B4:F4"/>
    <mergeCell ref="B5:F5"/>
    <mergeCell ref="A60:C60"/>
    <mergeCell ref="A61:C61"/>
    <mergeCell ref="A67:C67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B18BD-C296-4630-8686-D2C8EFAF2EA3}">
  <dimension ref="A1:G97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169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145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3.51</v>
      </c>
      <c r="C9" s="23"/>
      <c r="D9" s="26"/>
    </row>
    <row r="10" spans="1:7" x14ac:dyDescent="0.2">
      <c r="A10" s="23" t="s">
        <v>114</v>
      </c>
      <c r="B10" s="24">
        <v>3</v>
      </c>
      <c r="C10" s="23"/>
      <c r="D10" s="26"/>
    </row>
    <row r="11" spans="1:7" x14ac:dyDescent="0.2">
      <c r="A11" s="23" t="s">
        <v>141</v>
      </c>
      <c r="B11" s="24">
        <v>3</v>
      </c>
      <c r="C11" s="23"/>
      <c r="D11" s="26"/>
    </row>
    <row r="12" spans="1:7" x14ac:dyDescent="0.2">
      <c r="A12" s="23" t="s">
        <v>115</v>
      </c>
      <c r="B12" s="24">
        <v>1.17</v>
      </c>
      <c r="C12" s="23"/>
      <c r="D12" s="26"/>
    </row>
    <row r="13" spans="1:7" x14ac:dyDescent="0.2">
      <c r="A13" s="23" t="s">
        <v>116</v>
      </c>
      <c r="B13" s="24">
        <v>1.17</v>
      </c>
      <c r="C13" s="23"/>
      <c r="D13" s="26"/>
    </row>
    <row r="14" spans="1:7" x14ac:dyDescent="0.2">
      <c r="A14" s="23" t="s">
        <v>119</v>
      </c>
      <c r="B14" s="24">
        <v>600</v>
      </c>
      <c r="C14" s="23"/>
      <c r="D14" s="26"/>
    </row>
    <row r="15" spans="1:7" x14ac:dyDescent="0.2">
      <c r="A15" s="23" t="s">
        <v>120</v>
      </c>
      <c r="B15" s="24">
        <v>40</v>
      </c>
      <c r="C15" s="23"/>
      <c r="D15" s="26"/>
    </row>
    <row r="16" spans="1:7" x14ac:dyDescent="0.2">
      <c r="A16" s="23"/>
      <c r="C16" s="23"/>
      <c r="D16" s="26"/>
    </row>
    <row r="17" spans="1:7" x14ac:dyDescent="0.2">
      <c r="A17" s="23"/>
      <c r="B17" s="27"/>
      <c r="C17" s="23"/>
      <c r="D17" s="26"/>
    </row>
    <row r="18" spans="1:7" x14ac:dyDescent="0.2">
      <c r="A18" s="28" t="s">
        <v>10</v>
      </c>
      <c r="B18" s="28"/>
      <c r="C18" s="28"/>
      <c r="D18" s="28"/>
      <c r="E18" s="28"/>
      <c r="F18" s="28"/>
      <c r="G18" s="28"/>
    </row>
    <row r="19" spans="1:7" x14ac:dyDescent="0.2">
      <c r="A19" s="28"/>
      <c r="B19" s="28"/>
      <c r="C19" s="28"/>
      <c r="D19" s="28"/>
      <c r="E19" s="28"/>
      <c r="F19" s="28"/>
      <c r="G19" s="28"/>
    </row>
    <row r="20" spans="1:7" x14ac:dyDescent="0.2">
      <c r="A20" s="29" t="s">
        <v>121</v>
      </c>
      <c r="B20" s="24" t="s">
        <v>122</v>
      </c>
      <c r="C20" s="29"/>
      <c r="D20" s="29"/>
      <c r="E20" s="29"/>
      <c r="F20" s="29"/>
    </row>
    <row r="21" spans="1:7" x14ac:dyDescent="0.2">
      <c r="A21" s="29" t="s">
        <v>123</v>
      </c>
      <c r="B21" s="24" t="s">
        <v>124</v>
      </c>
      <c r="C21" s="29"/>
      <c r="D21" s="29"/>
      <c r="E21" s="29"/>
      <c r="F21" s="29"/>
    </row>
    <row r="22" spans="1:7" x14ac:dyDescent="0.2">
      <c r="A22" s="29"/>
      <c r="B22" s="24" t="s">
        <v>125</v>
      </c>
      <c r="C22" s="29"/>
      <c r="D22" s="29"/>
      <c r="E22" s="29"/>
      <c r="F22" s="29"/>
    </row>
    <row r="23" spans="1:7" x14ac:dyDescent="0.2">
      <c r="A23" s="29" t="s">
        <v>126</v>
      </c>
      <c r="B23" s="24" t="s">
        <v>127</v>
      </c>
      <c r="C23" s="29"/>
      <c r="D23" s="29"/>
      <c r="E23" s="29"/>
      <c r="F23" s="29"/>
    </row>
    <row r="24" spans="1:7" x14ac:dyDescent="0.2">
      <c r="A24" s="29"/>
      <c r="B24" s="24" t="s">
        <v>142</v>
      </c>
      <c r="C24" s="29"/>
      <c r="D24" s="29"/>
      <c r="E24" s="29"/>
      <c r="F24" s="29"/>
    </row>
    <row r="25" spans="1:7" x14ac:dyDescent="0.2">
      <c r="A25" s="29">
        <v>20</v>
      </c>
      <c r="B25" s="24" t="s">
        <v>130</v>
      </c>
      <c r="C25" s="29"/>
      <c r="D25" s="29"/>
      <c r="E25" s="29"/>
      <c r="F25" s="29"/>
    </row>
    <row r="26" spans="1:7" x14ac:dyDescent="0.2">
      <c r="A26" s="29" t="s">
        <v>134</v>
      </c>
      <c r="B26" s="24" t="s">
        <v>135</v>
      </c>
      <c r="C26" s="29"/>
      <c r="D26" s="29"/>
      <c r="E26" s="29"/>
      <c r="F26" s="29"/>
    </row>
    <row r="27" spans="1:7" x14ac:dyDescent="0.2">
      <c r="A27" s="29" t="s">
        <v>136</v>
      </c>
      <c r="B27" s="24" t="s">
        <v>137</v>
      </c>
      <c r="C27" s="29"/>
      <c r="D27" s="29"/>
      <c r="E27" s="29"/>
      <c r="F27" s="29"/>
    </row>
    <row r="28" spans="1:7" x14ac:dyDescent="0.2">
      <c r="A28" s="29" t="s">
        <v>143</v>
      </c>
      <c r="B28" s="24" t="s">
        <v>144</v>
      </c>
      <c r="C28" s="29"/>
      <c r="D28" s="29"/>
      <c r="E28" s="29"/>
      <c r="F28" s="29"/>
    </row>
    <row r="29" spans="1:7" x14ac:dyDescent="0.2">
      <c r="A29" s="29"/>
      <c r="C29" s="29"/>
      <c r="D29" s="29"/>
      <c r="E29" s="29"/>
      <c r="F29" s="29"/>
    </row>
    <row r="30" spans="1:7" x14ac:dyDescent="0.2">
      <c r="A30" s="29"/>
      <c r="C30" s="29"/>
      <c r="D30" s="29"/>
      <c r="E30" s="29"/>
      <c r="F30" s="29"/>
    </row>
    <row r="31" spans="1:7" x14ac:dyDescent="0.2">
      <c r="A31" s="25" t="s">
        <v>14</v>
      </c>
      <c r="B31" s="25"/>
      <c r="C31" s="25"/>
      <c r="D31" s="25"/>
      <c r="E31" s="25"/>
      <c r="F31" s="25"/>
      <c r="G31" s="25"/>
    </row>
    <row r="33" spans="1:7" s="29" customFormat="1" x14ac:dyDescent="0.2">
      <c r="A33" s="29" t="s">
        <v>25</v>
      </c>
      <c r="B33" s="29" t="s">
        <v>38</v>
      </c>
      <c r="C33" s="29" t="s">
        <v>2</v>
      </c>
      <c r="D33" s="30" t="s">
        <v>9</v>
      </c>
      <c r="E33" s="30" t="s">
        <v>3</v>
      </c>
      <c r="F33" s="30" t="s">
        <v>4</v>
      </c>
      <c r="G33" s="30" t="s">
        <v>16</v>
      </c>
    </row>
    <row r="34" spans="1:7" x14ac:dyDescent="0.2">
      <c r="A34" s="24" t="str">
        <f>MatP8815C0Colour</f>
        <v>Not Specified</v>
      </c>
      <c r="B34" s="24" t="str">
        <f>IF(MatP8815C0Code=0,"",MatP8815C0Code)</f>
        <v/>
      </c>
      <c r="C34" s="24" t="str">
        <f>MatP8815C0Desc</f>
        <v>TLE Tile</v>
      </c>
      <c r="D34" s="31">
        <v>41</v>
      </c>
      <c r="E34" s="32">
        <f>MatP8815C0Price</f>
        <v>1.2</v>
      </c>
      <c r="F34" s="33" t="str">
        <f>MatP8815C0PerText</f>
        <v>Each</v>
      </c>
      <c r="G34" s="32">
        <f t="shared" ref="G34:G49" si="0">D34 * E34</f>
        <v>49.199999999999996</v>
      </c>
    </row>
    <row r="35" spans="1:7" x14ac:dyDescent="0.2">
      <c r="A35" s="24" t="str">
        <f>MatP10135C0Colour</f>
        <v>Not Specified</v>
      </c>
      <c r="B35" s="24" t="str">
        <f>IF(MatP10135C0Code=0,"",MatP10135C0Code)</f>
        <v/>
      </c>
      <c r="C35" s="24" t="str">
        <f>MatP10135C0Desc</f>
        <v>VP300 Vapour Permeable Underlay (50m x 1m)</v>
      </c>
      <c r="D35" s="31">
        <v>0.25</v>
      </c>
      <c r="E35" s="32">
        <f>MatP10135C0Price</f>
        <v>35</v>
      </c>
      <c r="F35" s="33" t="str">
        <f>MatP10135C0PerText</f>
        <v>Roll</v>
      </c>
      <c r="G35" s="32">
        <f t="shared" si="0"/>
        <v>8.75</v>
      </c>
    </row>
    <row r="36" spans="1:7" x14ac:dyDescent="0.2">
      <c r="A36" s="24" t="str">
        <f>MatP9008C0Colour</f>
        <v>Not Specified</v>
      </c>
      <c r="B36" s="24" t="str">
        <f>IF(MatP9008C0Code=0,"",MatP9008C0Code)</f>
        <v/>
      </c>
      <c r="C36" s="24" t="str">
        <f>MatP9008C0Desc</f>
        <v>Battens (50mm x 25mm)</v>
      </c>
      <c r="D36" s="31">
        <v>12</v>
      </c>
      <c r="E36" s="32">
        <f>MatP9008C0Price</f>
        <v>0.9</v>
      </c>
      <c r="F36" s="33" t="str">
        <f>MatP9008C0PerText</f>
        <v>Metre</v>
      </c>
      <c r="G36" s="32">
        <f t="shared" si="0"/>
        <v>10.8</v>
      </c>
    </row>
    <row r="37" spans="1:7" x14ac:dyDescent="0.2">
      <c r="A37" s="24" t="str">
        <f>MatP8857C0Colour</f>
        <v>Not Specified</v>
      </c>
      <c r="B37" s="24" t="str">
        <f>IF(MatP8857C0Code=0,"",MatP8857C0Code)</f>
        <v/>
      </c>
      <c r="C37" s="24" t="str">
        <f>MatP8857C0Desc</f>
        <v>LH Uni-Fix Dry Verge Unit</v>
      </c>
      <c r="D37" s="31">
        <v>8</v>
      </c>
      <c r="E37" s="32">
        <f>MatP8857C0Price</f>
        <v>1.1000000000000001</v>
      </c>
      <c r="F37" s="33" t="str">
        <f>MatP8857C0PerText</f>
        <v>Each</v>
      </c>
      <c r="G37" s="32">
        <f t="shared" si="0"/>
        <v>8.8000000000000007</v>
      </c>
    </row>
    <row r="38" spans="1:7" x14ac:dyDescent="0.2">
      <c r="A38" s="24" t="str">
        <f>MatP8869C0Colour</f>
        <v>Not Specified</v>
      </c>
      <c r="B38" s="24" t="str">
        <f>IF(MatP8869C0Code=0,"",MatP8869C0Code)</f>
        <v/>
      </c>
      <c r="C38" s="24" t="str">
        <f>MatP8869C0Desc</f>
        <v>RH Uni-Fix Dry Verge Unit</v>
      </c>
      <c r="D38" s="31">
        <v>8</v>
      </c>
      <c r="E38" s="32">
        <f>MatP8869C0Price</f>
        <v>1.1000000000000001</v>
      </c>
      <c r="F38" s="33" t="str">
        <f>MatP8869C0PerText</f>
        <v>Each</v>
      </c>
      <c r="G38" s="32">
        <f t="shared" si="0"/>
        <v>8.8000000000000007</v>
      </c>
    </row>
    <row r="39" spans="1:7" x14ac:dyDescent="0.2">
      <c r="A39" s="24" t="str">
        <f>MatP8830C20Colour</f>
        <v>Not Specified</v>
      </c>
      <c r="B39" s="24" t="str">
        <f>IF(MatP8830C20Code=0,"",MatP8830C20Code)</f>
        <v/>
      </c>
      <c r="C39" s="24" t="str">
        <f>MatP8830C20Desc</f>
        <v>Dry Verge Starter Unit</v>
      </c>
      <c r="D39" s="31">
        <v>2</v>
      </c>
      <c r="E39" s="32">
        <f>MatP8830C20Price</f>
        <v>1.51</v>
      </c>
      <c r="F39" s="33" t="str">
        <f>MatP8830C20PerText</f>
        <v>Each</v>
      </c>
      <c r="G39" s="32">
        <f t="shared" si="0"/>
        <v>3.02</v>
      </c>
    </row>
    <row r="40" spans="1:7" x14ac:dyDescent="0.2">
      <c r="A40" s="24" t="str">
        <f>MatP8821C20Colour</f>
        <v>Not Specified</v>
      </c>
      <c r="B40" s="24" t="str">
        <f>IF(MatP8821C20Code=0,"",MatP8821C20Code)</f>
        <v/>
      </c>
      <c r="C40" s="24" t="str">
        <f>MatP8821C20Desc</f>
        <v>25mm Over Fascia Vent (1m)</v>
      </c>
      <c r="D40" s="31">
        <v>3</v>
      </c>
      <c r="E40" s="32">
        <f>MatP8821C20Price</f>
        <v>1.9</v>
      </c>
      <c r="F40" s="33" t="str">
        <f>MatP8821C20PerText</f>
        <v>Each</v>
      </c>
      <c r="G40" s="32">
        <f t="shared" si="0"/>
        <v>5.6999999999999993</v>
      </c>
    </row>
    <row r="41" spans="1:7" x14ac:dyDescent="0.2">
      <c r="A41" s="24" t="str">
        <f>MatP8281C0Colour</f>
        <v>Not Specified</v>
      </c>
      <c r="B41" s="24" t="str">
        <f>IF(MatP8281C0Code=0,"",MatP8281C0Code)</f>
        <v/>
      </c>
      <c r="C41" s="24" t="str">
        <f>MatP8281C0Desc</f>
        <v>Generic Eave Insulation (1m)</v>
      </c>
      <c r="D41" s="31">
        <v>3</v>
      </c>
      <c r="E41" s="32">
        <f>MatP8281C0Price</f>
        <v>5</v>
      </c>
      <c r="F41" s="33" t="str">
        <f>MatP8281C0PerText</f>
        <v>Each</v>
      </c>
      <c r="G41" s="32">
        <f t="shared" si="0"/>
        <v>15</v>
      </c>
    </row>
    <row r="42" spans="1:7" x14ac:dyDescent="0.2">
      <c r="A42" s="24" t="str">
        <f>MatP8866C20Colour</f>
        <v>Not Specified</v>
      </c>
      <c r="B42" s="24" t="str">
        <f>IF(MatP8866C20Code=0,"",MatP8866C20Code)</f>
        <v/>
      </c>
      <c r="C42" s="24" t="str">
        <f>MatP8866C20Desc</f>
        <v>Rafter Roll (6m x 600mm)</v>
      </c>
      <c r="D42" s="31">
        <v>1</v>
      </c>
      <c r="E42" s="32">
        <f>MatP8866C20Price</f>
        <v>9.5</v>
      </c>
      <c r="F42" s="33" t="str">
        <f>MatP8866C20PerText</f>
        <v>Each</v>
      </c>
      <c r="G42" s="32">
        <f t="shared" si="0"/>
        <v>9.5</v>
      </c>
    </row>
    <row r="43" spans="1:7" x14ac:dyDescent="0.2">
      <c r="A43" s="24" t="str">
        <f>MatP8874C20Colour</f>
        <v>Not Specified</v>
      </c>
      <c r="B43" s="24" t="str">
        <f>IF(MatP8874C20Code=0,"",MatP8874C20Code)</f>
        <v/>
      </c>
      <c r="C43" s="24" t="str">
        <f>MatP8874C20Desc</f>
        <v>Underlay Support Tray (1.5m)</v>
      </c>
      <c r="D43" s="31">
        <v>2</v>
      </c>
      <c r="E43" s="32">
        <f>MatP8874C20Price</f>
        <v>1.5</v>
      </c>
      <c r="F43" s="33" t="str">
        <f>MatP8874C20PerText</f>
        <v>Each</v>
      </c>
      <c r="G43" s="32">
        <f t="shared" si="0"/>
        <v>3</v>
      </c>
    </row>
    <row r="44" spans="1:7" x14ac:dyDescent="0.2">
      <c r="A44" s="24" t="str">
        <f>MatP8872C539Colour</f>
        <v>Not Specified</v>
      </c>
      <c r="B44" s="24" t="str">
        <f>IF(MatP8872C539Code=0,"",MatP8872C539Code)</f>
        <v/>
      </c>
      <c r="C44" s="24" t="str">
        <f>MatP8872C539Desc</f>
        <v>Sidelock Tile Clips (TLE)</v>
      </c>
      <c r="D44" s="31">
        <v>6</v>
      </c>
      <c r="E44" s="32">
        <f>MatP8872C539Price</f>
        <v>7.0000000000000007E-2</v>
      </c>
      <c r="F44" s="33" t="str">
        <f>MatP8872C539PerText</f>
        <v>Each</v>
      </c>
      <c r="G44" s="32">
        <f t="shared" si="0"/>
        <v>0.42000000000000004</v>
      </c>
    </row>
    <row r="45" spans="1:7" x14ac:dyDescent="0.2">
      <c r="A45" s="24" t="str">
        <f>MatP8826C539Colour</f>
        <v>Not Specified</v>
      </c>
      <c r="B45" s="24" t="str">
        <f>IF(MatP8826C539Code=0,"",MatP8826C539Code)</f>
        <v/>
      </c>
      <c r="C45" s="24" t="str">
        <f>MatP8826C539Desc</f>
        <v>Metal Batten End Clips</v>
      </c>
      <c r="D45" s="31">
        <v>8</v>
      </c>
      <c r="E45" s="32">
        <f>MatP8826C539Price</f>
        <v>0.28000000000000003</v>
      </c>
      <c r="F45" s="33" t="str">
        <f>MatP8826C539PerText</f>
        <v>Each</v>
      </c>
      <c r="G45" s="32">
        <f t="shared" si="0"/>
        <v>2.2400000000000002</v>
      </c>
    </row>
    <row r="46" spans="1:7" x14ac:dyDescent="0.2">
      <c r="A46" s="24" t="str">
        <f>MatP8831C539Colour</f>
        <v>Not Specified</v>
      </c>
      <c r="B46" s="24" t="str">
        <f>IF(MatP8831C539Code=0,"",MatP8831C539Code)</f>
        <v/>
      </c>
      <c r="C46" s="24" t="str">
        <f>MatP8831C539Desc</f>
        <v>Eave Clip</v>
      </c>
      <c r="D46" s="31">
        <v>10</v>
      </c>
      <c r="E46" s="32">
        <f>MatP8831C539Price</f>
        <v>0.1</v>
      </c>
      <c r="F46" s="33" t="str">
        <f>MatP8831C539PerText</f>
        <v>Each</v>
      </c>
      <c r="G46" s="32">
        <f t="shared" si="0"/>
        <v>1</v>
      </c>
    </row>
    <row r="47" spans="1:7" x14ac:dyDescent="0.2">
      <c r="A47" s="24" t="str">
        <f>MatP9318C0Colour</f>
        <v>Not Specified</v>
      </c>
      <c r="B47" s="24" t="str">
        <f>IF(MatP9318C0Code=0,"",MatP9318C0Code)</f>
        <v/>
      </c>
      <c r="C47" s="24" t="str">
        <f>MatP9318C0Desc</f>
        <v>45mm x 3.35mm Aluminium Nails</v>
      </c>
      <c r="D47" s="31">
        <v>1</v>
      </c>
      <c r="E47" s="32">
        <f>MatP9318C0Price</f>
        <v>7.28</v>
      </c>
      <c r="F47" s="33" t="str">
        <f>MatP9318C0PerText</f>
        <v>Kg</v>
      </c>
      <c r="G47" s="32">
        <f t="shared" si="0"/>
        <v>7.28</v>
      </c>
    </row>
    <row r="48" spans="1:7" x14ac:dyDescent="0.2">
      <c r="A48" s="24" t="str">
        <f>MatP9100C0Colour</f>
        <v>Not Specified</v>
      </c>
      <c r="B48" s="24" t="str">
        <f>IF(MatP9100C0Code=0,"",MatP9100C0Code)</f>
        <v/>
      </c>
      <c r="C48" s="24" t="str">
        <f>MatP9100C0Desc</f>
        <v>Batten Nails - 65mm x 3.35mm Galvanised</v>
      </c>
      <c r="D48" s="31">
        <v>1</v>
      </c>
      <c r="E48" s="32">
        <f>MatP9100C0Price</f>
        <v>4.5</v>
      </c>
      <c r="F48" s="33" t="str">
        <f>MatP9100C0PerText</f>
        <v>Kg</v>
      </c>
      <c r="G48" s="32">
        <f t="shared" si="0"/>
        <v>4.5</v>
      </c>
    </row>
    <row r="49" spans="1:7" x14ac:dyDescent="0.2">
      <c r="A49" s="24" t="str">
        <f>MatP9066C92Colour</f>
        <v>Not Specified</v>
      </c>
      <c r="B49" s="24" t="str">
        <f>IF(MatP9066C92Code=0,"",MatP9066C92Code)</f>
        <v/>
      </c>
      <c r="C49" s="24" t="str">
        <f>MatP9066C92Desc</f>
        <v>Lead Code 4 - 300mm (6m)</v>
      </c>
      <c r="D49" s="31">
        <v>6</v>
      </c>
      <c r="E49" s="32">
        <f>MatP9066C92Price</f>
        <v>15.21</v>
      </c>
      <c r="F49" s="33" t="str">
        <f>MatP9066C92PerText</f>
        <v>Metre</v>
      </c>
      <c r="G49" s="32">
        <f t="shared" si="0"/>
        <v>91.26</v>
      </c>
    </row>
    <row r="50" spans="1:7" x14ac:dyDescent="0.2">
      <c r="D50" s="31"/>
      <c r="E50" s="32"/>
      <c r="F50" s="33"/>
      <c r="G50" s="32"/>
    </row>
    <row r="51" spans="1:7" x14ac:dyDescent="0.2">
      <c r="F51" s="34" t="s">
        <v>5</v>
      </c>
      <c r="G51" s="35">
        <f>SUM(G34:G50)</f>
        <v>229.26999999999998</v>
      </c>
    </row>
    <row r="52" spans="1:7" x14ac:dyDescent="0.2">
      <c r="G52" s="34"/>
    </row>
    <row r="53" spans="1:7" x14ac:dyDescent="0.2">
      <c r="A53" s="25" t="s">
        <v>15</v>
      </c>
      <c r="B53" s="25"/>
      <c r="D53" s="25"/>
      <c r="E53" s="25"/>
      <c r="F53" s="25"/>
      <c r="G53" s="25"/>
    </row>
    <row r="55" spans="1:7" x14ac:dyDescent="0.2">
      <c r="A55" s="102" t="s">
        <v>6</v>
      </c>
      <c r="B55" s="102"/>
      <c r="C55" s="102"/>
      <c r="D55" s="34" t="s">
        <v>7</v>
      </c>
      <c r="E55" s="34" t="s">
        <v>9</v>
      </c>
      <c r="F55" s="34" t="s">
        <v>8</v>
      </c>
      <c r="G55" s="34" t="s">
        <v>16</v>
      </c>
    </row>
    <row r="56" spans="1:7" x14ac:dyDescent="0.2">
      <c r="A56" s="103" t="str">
        <f>LabP8815R6L1G1Desc</f>
        <v>Main Area</v>
      </c>
      <c r="B56" s="103"/>
      <c r="C56" s="103"/>
      <c r="D56" s="36">
        <f>LabP8815R6L1G1Rate</f>
        <v>9</v>
      </c>
      <c r="E56" s="37">
        <f>'HNB-END-Porch (Lean to)'!Area</f>
        <v>3.51</v>
      </c>
      <c r="F56" s="27" t="str">
        <f xml:space="preserve"> "" &amp; LabP8815R6L1G1Per</f>
        <v>m²</v>
      </c>
      <c r="G56" s="36">
        <f>D56 * E56</f>
        <v>31.589999999999996</v>
      </c>
    </row>
    <row r="57" spans="1:7" x14ac:dyDescent="0.2">
      <c r="A57" s="24" t="str">
        <f>LabP8815R0L1G2Desc</f>
        <v>Eave</v>
      </c>
      <c r="D57" s="36">
        <f>LabP8815R0L1G2Rate</f>
        <v>2.5</v>
      </c>
      <c r="E57" s="37">
        <f>'HNB-END-Porch (Lean to)'!Eave</f>
        <v>3</v>
      </c>
      <c r="F57" s="27" t="str">
        <f xml:space="preserve"> "" &amp; LabP8815R0L1G2Per</f>
        <v>m</v>
      </c>
      <c r="G57" s="36">
        <f>D57 * E57</f>
        <v>7.5</v>
      </c>
    </row>
    <row r="58" spans="1:7" x14ac:dyDescent="0.2">
      <c r="A58" s="24" t="str">
        <f>LabP8815R0L1G3Desc</f>
        <v>Verge</v>
      </c>
      <c r="D58" s="36">
        <f>LabP8815R0L1G3Rate</f>
        <v>2.5</v>
      </c>
      <c r="E58" s="37">
        <f>LeftVerge+RightVerge</f>
        <v>2.34</v>
      </c>
      <c r="F58" s="27" t="str">
        <f xml:space="preserve"> "" &amp; LabP8815R0L1G3Per</f>
        <v>m</v>
      </c>
      <c r="G58" s="36">
        <f>D58 * E58</f>
        <v>5.85</v>
      </c>
    </row>
    <row r="59" spans="1:7" x14ac:dyDescent="0.2">
      <c r="A59" s="24" t="str">
        <f>LabP8815R15L1G243Desc</f>
        <v>Apron Flashing (Code 4)</v>
      </c>
      <c r="D59" s="36">
        <f>LabP8815R15L1G243Rate</f>
        <v>15</v>
      </c>
      <c r="E59" s="37">
        <v>3</v>
      </c>
      <c r="F59" s="27" t="str">
        <f xml:space="preserve"> "" &amp; LabP8815R15L1G243Per</f>
        <v>m</v>
      </c>
      <c r="G59" s="36">
        <f>D59 * E59</f>
        <v>45</v>
      </c>
    </row>
    <row r="60" spans="1:7" x14ac:dyDescent="0.2">
      <c r="A60" s="24" t="str">
        <f>LabP8815R150LabLabourforPorchesDesc</f>
        <v>Labour for Porches</v>
      </c>
      <c r="D60" s="36">
        <f>LabP8815R150LabLabourforPorchesRate</f>
        <v>150</v>
      </c>
      <c r="E60" s="37">
        <v>1</v>
      </c>
      <c r="F60" s="27" t="str">
        <f xml:space="preserve"> "" &amp; LabP8815R150LabLabourforPorchesPer</f>
        <v/>
      </c>
      <c r="G60" s="36">
        <f>D60 * E60</f>
        <v>150</v>
      </c>
    </row>
    <row r="61" spans="1:7" x14ac:dyDescent="0.2">
      <c r="D61" s="36"/>
      <c r="E61" s="37"/>
      <c r="F61" s="27"/>
      <c r="G61" s="36"/>
    </row>
    <row r="62" spans="1:7" x14ac:dyDescent="0.2">
      <c r="A62" s="103"/>
      <c r="B62" s="103"/>
      <c r="C62" s="103"/>
      <c r="D62" s="36"/>
      <c r="E62" s="37"/>
      <c r="G62" s="36"/>
    </row>
    <row r="63" spans="1:7" x14ac:dyDescent="0.2">
      <c r="F63" s="34" t="s">
        <v>5</v>
      </c>
      <c r="G63" s="35">
        <f>SUM(G56:G62)</f>
        <v>239.94</v>
      </c>
    </row>
    <row r="67" spans="1:3" x14ac:dyDescent="0.2">
      <c r="A67" s="34"/>
      <c r="B67" s="38"/>
    </row>
    <row r="69" spans="1:3" x14ac:dyDescent="0.2">
      <c r="A69" s="34"/>
      <c r="B69" s="38"/>
    </row>
    <row r="71" spans="1:3" x14ac:dyDescent="0.2">
      <c r="A71" s="34"/>
      <c r="B71" s="38"/>
    </row>
    <row r="73" spans="1:3" x14ac:dyDescent="0.2">
      <c r="A73" s="34"/>
      <c r="B73" s="38"/>
    </row>
    <row r="76" spans="1:3" x14ac:dyDescent="0.2">
      <c r="A76" s="34"/>
      <c r="B76" s="38"/>
      <c r="C76" s="39"/>
    </row>
    <row r="78" spans="1:3" x14ac:dyDescent="0.2">
      <c r="A78" s="34"/>
      <c r="B78" s="38"/>
    </row>
    <row r="80" spans="1:3" x14ac:dyDescent="0.2">
      <c r="A80" s="34"/>
      <c r="B80" s="38"/>
      <c r="C80" s="39"/>
    </row>
    <row r="82" spans="1:3" x14ac:dyDescent="0.2">
      <c r="A82" s="34"/>
      <c r="B82" s="38"/>
    </row>
    <row r="84" spans="1:3" x14ac:dyDescent="0.2">
      <c r="A84" s="34"/>
      <c r="B84" s="38"/>
    </row>
    <row r="87" spans="1:3" x14ac:dyDescent="0.2">
      <c r="A87" s="34"/>
      <c r="B87" s="38"/>
    </row>
    <row r="89" spans="1:3" x14ac:dyDescent="0.2">
      <c r="A89" s="34"/>
      <c r="B89" s="38"/>
    </row>
    <row r="91" spans="1:3" x14ac:dyDescent="0.2">
      <c r="A91" s="34"/>
      <c r="B91" s="38"/>
      <c r="C91" s="39"/>
    </row>
    <row r="94" spans="1:3" x14ac:dyDescent="0.2">
      <c r="A94" s="34"/>
      <c r="B94" s="40"/>
      <c r="C94" s="23"/>
    </row>
    <row r="97" spans="1:2" x14ac:dyDescent="0.2">
      <c r="A97" s="39"/>
      <c r="B97" s="41"/>
    </row>
  </sheetData>
  <mergeCells count="5">
    <mergeCell ref="B4:F4"/>
    <mergeCell ref="B5:F5"/>
    <mergeCell ref="A55:C55"/>
    <mergeCell ref="A56:C56"/>
    <mergeCell ref="A62:C62"/>
  </mergeCells>
  <pageMargins left="0.59089835992723128" right="0.19719757252565651" top="0.19719757252565651" bottom="0.19719757252565651" header="0.5" footer="0.5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EBB02-3F36-416B-A65C-CB08D46A13DB}">
  <dimension ref="A1:G92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172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139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49.4</v>
      </c>
      <c r="C9" s="23"/>
      <c r="D9" s="26"/>
    </row>
    <row r="10" spans="1:7" x14ac:dyDescent="0.2">
      <c r="A10" s="23" t="s">
        <v>114</v>
      </c>
      <c r="B10" s="24">
        <v>10</v>
      </c>
      <c r="C10" s="23"/>
      <c r="D10" s="26"/>
    </row>
    <row r="11" spans="1:7" x14ac:dyDescent="0.2">
      <c r="A11" s="23" t="s">
        <v>117</v>
      </c>
      <c r="B11" s="24">
        <v>5</v>
      </c>
      <c r="C11" s="23"/>
      <c r="D11" s="26"/>
    </row>
    <row r="12" spans="1:7" x14ac:dyDescent="0.2">
      <c r="A12" s="23" t="s">
        <v>118</v>
      </c>
      <c r="B12" s="24">
        <v>9.8800000000000008</v>
      </c>
      <c r="C12" s="23"/>
      <c r="D12" s="26"/>
    </row>
    <row r="13" spans="1:7" x14ac:dyDescent="0.2">
      <c r="A13" s="23" t="s">
        <v>119</v>
      </c>
      <c r="B13" s="24">
        <v>600</v>
      </c>
      <c r="C13" s="23"/>
      <c r="D13" s="26"/>
    </row>
    <row r="14" spans="1:7" x14ac:dyDescent="0.2">
      <c r="A14" s="23" t="s">
        <v>120</v>
      </c>
      <c r="B14" s="24">
        <v>35</v>
      </c>
      <c r="C14" s="23"/>
      <c r="D14" s="26"/>
    </row>
    <row r="15" spans="1:7" x14ac:dyDescent="0.2">
      <c r="A15" s="23"/>
      <c r="C15" s="23"/>
      <c r="D15" s="26"/>
    </row>
    <row r="16" spans="1:7" x14ac:dyDescent="0.2">
      <c r="A16" s="23"/>
      <c r="B16" s="27"/>
      <c r="C16" s="23"/>
      <c r="D16" s="26"/>
    </row>
    <row r="17" spans="1:7" x14ac:dyDescent="0.2">
      <c r="A17" s="28" t="s">
        <v>10</v>
      </c>
      <c r="B17" s="28"/>
      <c r="C17" s="28"/>
      <c r="D17" s="28"/>
      <c r="E17" s="28"/>
      <c r="F17" s="28"/>
      <c r="G17" s="28"/>
    </row>
    <row r="18" spans="1:7" x14ac:dyDescent="0.2">
      <c r="A18" s="28"/>
      <c r="B18" s="28"/>
      <c r="C18" s="28"/>
      <c r="D18" s="28"/>
      <c r="E18" s="28"/>
      <c r="F18" s="28"/>
      <c r="G18" s="28"/>
    </row>
    <row r="19" spans="1:7" x14ac:dyDescent="0.2">
      <c r="A19" s="29" t="s">
        <v>121</v>
      </c>
      <c r="B19" s="24" t="s">
        <v>122</v>
      </c>
      <c r="C19" s="29"/>
      <c r="D19" s="29"/>
      <c r="E19" s="29"/>
      <c r="F19" s="29"/>
    </row>
    <row r="20" spans="1:7" x14ac:dyDescent="0.2">
      <c r="A20" s="29" t="s">
        <v>123</v>
      </c>
      <c r="B20" s="24" t="s">
        <v>124</v>
      </c>
      <c r="C20" s="29"/>
      <c r="D20" s="29"/>
      <c r="E20" s="29"/>
      <c r="F20" s="29"/>
    </row>
    <row r="21" spans="1:7" x14ac:dyDescent="0.2">
      <c r="A21" s="29"/>
      <c r="B21" s="24" t="s">
        <v>125</v>
      </c>
      <c r="C21" s="29"/>
      <c r="D21" s="29"/>
      <c r="E21" s="29"/>
      <c r="F21" s="29"/>
    </row>
    <row r="22" spans="1:7" x14ac:dyDescent="0.2">
      <c r="A22" s="29" t="s">
        <v>126</v>
      </c>
      <c r="B22" s="24" t="s">
        <v>127</v>
      </c>
      <c r="C22" s="29"/>
      <c r="D22" s="29"/>
      <c r="E22" s="29"/>
      <c r="F22" s="29"/>
    </row>
    <row r="23" spans="1:7" x14ac:dyDescent="0.2">
      <c r="A23" s="29"/>
      <c r="B23" s="24" t="s">
        <v>128</v>
      </c>
      <c r="C23" s="29"/>
      <c r="D23" s="29"/>
      <c r="E23" s="29"/>
      <c r="F23" s="29"/>
    </row>
    <row r="24" spans="1:7" x14ac:dyDescent="0.2">
      <c r="A24" s="29" t="s">
        <v>132</v>
      </c>
      <c r="B24" s="24" t="s">
        <v>133</v>
      </c>
      <c r="C24" s="29"/>
      <c r="D24" s="29"/>
      <c r="E24" s="29"/>
      <c r="F24" s="29"/>
    </row>
    <row r="25" spans="1:7" x14ac:dyDescent="0.2">
      <c r="A25" s="29" t="s">
        <v>134</v>
      </c>
      <c r="B25" s="24" t="s">
        <v>135</v>
      </c>
      <c r="C25" s="29"/>
      <c r="D25" s="29"/>
      <c r="E25" s="29"/>
      <c r="F25" s="29"/>
    </row>
    <row r="26" spans="1:7" x14ac:dyDescent="0.2">
      <c r="A26" s="29" t="s">
        <v>136</v>
      </c>
      <c r="B26" s="24" t="s">
        <v>137</v>
      </c>
      <c r="C26" s="29"/>
      <c r="D26" s="29"/>
      <c r="E26" s="29"/>
      <c r="F26" s="29"/>
    </row>
    <row r="27" spans="1:7" x14ac:dyDescent="0.2">
      <c r="A27" s="29"/>
      <c r="C27" s="29"/>
      <c r="D27" s="29"/>
      <c r="E27" s="29"/>
      <c r="F27" s="29"/>
    </row>
    <row r="28" spans="1:7" x14ac:dyDescent="0.2">
      <c r="A28" s="29"/>
      <c r="C28" s="29"/>
      <c r="D28" s="29"/>
      <c r="E28" s="29"/>
      <c r="F28" s="29"/>
    </row>
    <row r="29" spans="1:7" x14ac:dyDescent="0.2">
      <c r="A29" s="25" t="s">
        <v>14</v>
      </c>
      <c r="B29" s="25"/>
      <c r="C29" s="25"/>
      <c r="D29" s="25"/>
      <c r="E29" s="25"/>
      <c r="F29" s="25"/>
      <c r="G29" s="25"/>
    </row>
    <row r="31" spans="1:7" s="29" customFormat="1" x14ac:dyDescent="0.2">
      <c r="A31" s="29" t="s">
        <v>25</v>
      </c>
      <c r="B31" s="29" t="s">
        <v>38</v>
      </c>
      <c r="C31" s="29" t="s">
        <v>2</v>
      </c>
      <c r="D31" s="30" t="s">
        <v>9</v>
      </c>
      <c r="E31" s="30" t="s">
        <v>3</v>
      </c>
      <c r="F31" s="30" t="s">
        <v>4</v>
      </c>
      <c r="G31" s="30" t="s">
        <v>16</v>
      </c>
    </row>
    <row r="32" spans="1:7" x14ac:dyDescent="0.2">
      <c r="A32" s="24" t="str">
        <f>MatP8815C0Colour</f>
        <v>Not Specified</v>
      </c>
      <c r="B32" s="24" t="str">
        <f>IF(MatP8815C0Code=0,"",MatP8815C0Code)</f>
        <v/>
      </c>
      <c r="C32" s="24" t="str">
        <f>MatP8815C0Desc</f>
        <v>TLE Tile</v>
      </c>
      <c r="D32" s="31">
        <v>525</v>
      </c>
      <c r="E32" s="32">
        <f>MatP8815C0Price</f>
        <v>1.2</v>
      </c>
      <c r="F32" s="33" t="str">
        <f>MatP8815C0PerText</f>
        <v>Each</v>
      </c>
      <c r="G32" s="32">
        <f t="shared" ref="G32:G45" si="0">D32 * E32</f>
        <v>630</v>
      </c>
    </row>
    <row r="33" spans="1:7" x14ac:dyDescent="0.2">
      <c r="A33" s="24" t="str">
        <f>MatP8870C0Colour</f>
        <v>Not Specified</v>
      </c>
      <c r="B33" s="24" t="str">
        <f>IF(MatP8870C0Code=0,"",MatP8870C0Code)</f>
        <v/>
      </c>
      <c r="C33" s="24" t="str">
        <f>MatP8870C0Desc</f>
        <v>Ridge Tile (450mm)</v>
      </c>
      <c r="D33" s="31">
        <v>12</v>
      </c>
      <c r="E33" s="32">
        <f>MatP8870C0Price</f>
        <v>3.64</v>
      </c>
      <c r="F33" s="33" t="str">
        <f>MatP8870C0PerText</f>
        <v>Each</v>
      </c>
      <c r="G33" s="32">
        <f t="shared" si="0"/>
        <v>43.68</v>
      </c>
    </row>
    <row r="34" spans="1:7" x14ac:dyDescent="0.2">
      <c r="A34" s="24" t="str">
        <f>MatP10135C0Colour</f>
        <v>Not Specified</v>
      </c>
      <c r="B34" s="24" t="str">
        <f>IF(MatP10135C0Code=0,"",MatP10135C0Code)</f>
        <v/>
      </c>
      <c r="C34" s="24" t="str">
        <f>MatP10135C0Desc</f>
        <v>VP300 Vapour Permeable Underlay (50m x 1m)</v>
      </c>
      <c r="D34" s="31">
        <v>2</v>
      </c>
      <c r="E34" s="32">
        <f>MatP10135C0Price</f>
        <v>35</v>
      </c>
      <c r="F34" s="33" t="str">
        <f>MatP10135C0PerText</f>
        <v>Roll</v>
      </c>
      <c r="G34" s="32">
        <f t="shared" si="0"/>
        <v>70</v>
      </c>
    </row>
    <row r="35" spans="1:7" x14ac:dyDescent="0.2">
      <c r="A35" s="24" t="str">
        <f>MatP9008C0Colour</f>
        <v>Not Specified</v>
      </c>
      <c r="B35" s="24" t="str">
        <f>IF(MatP9008C0Code=0,"",MatP9008C0Code)</f>
        <v/>
      </c>
      <c r="C35" s="24" t="str">
        <f>MatP9008C0Desc</f>
        <v>Battens (50mm x 25mm)</v>
      </c>
      <c r="D35" s="31">
        <v>169</v>
      </c>
      <c r="E35" s="32">
        <f>MatP9008C0Price</f>
        <v>0.9</v>
      </c>
      <c r="F35" s="33" t="str">
        <f>MatP9008C0PerText</f>
        <v>Metre</v>
      </c>
      <c r="G35" s="32">
        <f t="shared" si="0"/>
        <v>152.1</v>
      </c>
    </row>
    <row r="36" spans="1:7" x14ac:dyDescent="0.2">
      <c r="A36" s="24" t="str">
        <f>MatP8879C15Colour</f>
        <v>Not Specified</v>
      </c>
      <c r="B36" s="24" t="str">
        <f>IF(MatP8879C15Code=0,"",MatP8879C15Code)</f>
        <v/>
      </c>
      <c r="C36" s="24" t="str">
        <f>MatP8879C15Desc</f>
        <v>Universal Dry Ridge/Hip System (6m)</v>
      </c>
      <c r="D36" s="31">
        <v>1</v>
      </c>
      <c r="E36" s="32">
        <f>MatP8879C15Price</f>
        <v>28.09</v>
      </c>
      <c r="F36" s="33" t="str">
        <f>MatP8879C15PerText</f>
        <v>Pack</v>
      </c>
      <c r="G36" s="32">
        <f t="shared" si="0"/>
        <v>28.09</v>
      </c>
    </row>
    <row r="37" spans="1:7" x14ac:dyDescent="0.2">
      <c r="A37" s="24" t="str">
        <f>MatP8820C20Colour</f>
        <v>Not Specified</v>
      </c>
      <c r="B37" s="24" t="str">
        <f>IF(MatP8820C20Code=0,"",MatP8820C20Code)</f>
        <v/>
      </c>
      <c r="C37" s="24" t="str">
        <f>MatP8820C20Desc</f>
        <v>10mm Over Fascia Vent (1m)</v>
      </c>
      <c r="D37" s="31">
        <v>10</v>
      </c>
      <c r="E37" s="32">
        <f>MatP8820C20Price</f>
        <v>1.7</v>
      </c>
      <c r="F37" s="33" t="str">
        <f>MatP8820C20PerText</f>
        <v>Each</v>
      </c>
      <c r="G37" s="32">
        <f t="shared" si="0"/>
        <v>17</v>
      </c>
    </row>
    <row r="38" spans="1:7" x14ac:dyDescent="0.2">
      <c r="A38" s="24" t="str">
        <f>MatP8624C0Colour</f>
        <v>Not Specified</v>
      </c>
      <c r="B38" s="24" t="str">
        <f>IF(MatP8624C0Code=0,"",MatP8624C0Code)</f>
        <v/>
      </c>
      <c r="C38" s="24" t="str">
        <f>MatP8624C0Desc</f>
        <v>Generic Party Wall Insulation (1m)</v>
      </c>
      <c r="D38" s="31">
        <v>10</v>
      </c>
      <c r="E38" s="32">
        <f>MatP8624C0Price</f>
        <v>5</v>
      </c>
      <c r="F38" s="33" t="str">
        <f>MatP8624C0PerText</f>
        <v>Each</v>
      </c>
      <c r="G38" s="32">
        <f t="shared" si="0"/>
        <v>50</v>
      </c>
    </row>
    <row r="39" spans="1:7" x14ac:dyDescent="0.2">
      <c r="A39" s="24" t="str">
        <f>MatP8281C0Colour</f>
        <v>Not Specified</v>
      </c>
      <c r="B39" s="24" t="str">
        <f>IF(MatP8281C0Code=0,"",MatP8281C0Code)</f>
        <v/>
      </c>
      <c r="C39" s="24" t="str">
        <f>MatP8281C0Desc</f>
        <v>Generic Eave Insulation (1m)</v>
      </c>
      <c r="D39" s="31">
        <v>10</v>
      </c>
      <c r="E39" s="32">
        <f>MatP8281C0Price</f>
        <v>5</v>
      </c>
      <c r="F39" s="33" t="str">
        <f>MatP8281C0PerText</f>
        <v>Each</v>
      </c>
      <c r="G39" s="32">
        <f t="shared" si="0"/>
        <v>50</v>
      </c>
    </row>
    <row r="40" spans="1:7" x14ac:dyDescent="0.2">
      <c r="A40" s="24" t="str">
        <f>MatP8866C20Colour</f>
        <v>Not Specified</v>
      </c>
      <c r="B40" s="24" t="str">
        <f>IF(MatP8866C20Code=0,"",MatP8866C20Code)</f>
        <v/>
      </c>
      <c r="C40" s="24" t="str">
        <f>MatP8866C20Desc</f>
        <v>Rafter Roll (6m x 600mm)</v>
      </c>
      <c r="D40" s="31">
        <v>2</v>
      </c>
      <c r="E40" s="32">
        <f>MatP8866C20Price</f>
        <v>9.5</v>
      </c>
      <c r="F40" s="33" t="str">
        <f>MatP8866C20PerText</f>
        <v>Each</v>
      </c>
      <c r="G40" s="32">
        <f t="shared" si="0"/>
        <v>19</v>
      </c>
    </row>
    <row r="41" spans="1:7" x14ac:dyDescent="0.2">
      <c r="A41" s="24" t="str">
        <f>MatP8874C20Colour</f>
        <v>Not Specified</v>
      </c>
      <c r="B41" s="24" t="str">
        <f>IF(MatP8874C20Code=0,"",MatP8874C20Code)</f>
        <v/>
      </c>
      <c r="C41" s="24" t="str">
        <f>MatP8874C20Desc</f>
        <v>Underlay Support Tray (1.5m)</v>
      </c>
      <c r="D41" s="31">
        <v>7</v>
      </c>
      <c r="E41" s="32">
        <f>MatP8874C20Price</f>
        <v>1.5</v>
      </c>
      <c r="F41" s="33" t="str">
        <f>MatP8874C20PerText</f>
        <v>Each</v>
      </c>
      <c r="G41" s="32">
        <f t="shared" si="0"/>
        <v>10.5</v>
      </c>
    </row>
    <row r="42" spans="1:7" x14ac:dyDescent="0.2">
      <c r="A42" s="24" t="str">
        <f>MatP8872C539Colour</f>
        <v>Not Specified</v>
      </c>
      <c r="B42" s="24" t="str">
        <f>IF(MatP8872C539Code=0,"",MatP8872C539Code)</f>
        <v/>
      </c>
      <c r="C42" s="24" t="str">
        <f>MatP8872C539Desc</f>
        <v>Sidelock Tile Clips (TLE)</v>
      </c>
      <c r="D42" s="31">
        <v>221</v>
      </c>
      <c r="E42" s="32">
        <f>MatP8872C539Price</f>
        <v>7.0000000000000007E-2</v>
      </c>
      <c r="F42" s="33" t="str">
        <f>MatP8872C539PerText</f>
        <v>Each</v>
      </c>
      <c r="G42" s="32">
        <f t="shared" si="0"/>
        <v>15.47</v>
      </c>
    </row>
    <row r="43" spans="1:7" x14ac:dyDescent="0.2">
      <c r="A43" s="24" t="str">
        <f>MatP8831C539Colour</f>
        <v>Not Specified</v>
      </c>
      <c r="B43" s="24" t="str">
        <f>IF(MatP8831C539Code=0,"",MatP8831C539Code)</f>
        <v/>
      </c>
      <c r="C43" s="24" t="str">
        <f>MatP8831C539Desc</f>
        <v>Eave Clip</v>
      </c>
      <c r="D43" s="31">
        <v>34</v>
      </c>
      <c r="E43" s="32">
        <f>MatP8831C539Price</f>
        <v>0.1</v>
      </c>
      <c r="F43" s="33" t="str">
        <f>MatP8831C539PerText</f>
        <v>Each</v>
      </c>
      <c r="G43" s="32">
        <f t="shared" si="0"/>
        <v>3.4000000000000004</v>
      </c>
    </row>
    <row r="44" spans="1:7" x14ac:dyDescent="0.2">
      <c r="A44" s="24" t="str">
        <f>MatP9318C0Colour</f>
        <v>Not Specified</v>
      </c>
      <c r="B44" s="24" t="str">
        <f>IF(MatP9318C0Code=0,"",MatP9318C0Code)</f>
        <v/>
      </c>
      <c r="C44" s="24" t="str">
        <f>MatP9318C0Desc</f>
        <v>45mm x 3.35mm Aluminium Nails</v>
      </c>
      <c r="D44" s="31">
        <v>2.0000000298023224</v>
      </c>
      <c r="E44" s="32">
        <f>MatP9318C0Price</f>
        <v>7.28</v>
      </c>
      <c r="F44" s="33" t="str">
        <f>MatP9318C0PerText</f>
        <v>Kg</v>
      </c>
      <c r="G44" s="32">
        <f t="shared" si="0"/>
        <v>14.560000216960907</v>
      </c>
    </row>
    <row r="45" spans="1:7" x14ac:dyDescent="0.2">
      <c r="A45" s="24" t="str">
        <f>MatP9100C0Colour</f>
        <v>Not Specified</v>
      </c>
      <c r="B45" s="24" t="str">
        <f>IF(MatP9100C0Code=0,"",MatP9100C0Code)</f>
        <v/>
      </c>
      <c r="C45" s="24" t="str">
        <f>MatP9100C0Desc</f>
        <v>Batten Nails - 65mm x 3.35mm Galvanised</v>
      </c>
      <c r="D45" s="31">
        <v>2</v>
      </c>
      <c r="E45" s="32">
        <f>MatP9100C0Price</f>
        <v>4.5</v>
      </c>
      <c r="F45" s="33" t="str">
        <f>MatP9100C0PerText</f>
        <v>Kg</v>
      </c>
      <c r="G45" s="32">
        <f t="shared" si="0"/>
        <v>9</v>
      </c>
    </row>
    <row r="46" spans="1:7" x14ac:dyDescent="0.2">
      <c r="D46" s="31"/>
      <c r="E46" s="32"/>
      <c r="F46" s="33"/>
      <c r="G46" s="32"/>
    </row>
    <row r="47" spans="1:7" x14ac:dyDescent="0.2">
      <c r="F47" s="34" t="s">
        <v>5</v>
      </c>
      <c r="G47" s="35">
        <f>SUM(G32:G46)</f>
        <v>1112.8000002169608</v>
      </c>
    </row>
    <row r="48" spans="1:7" x14ac:dyDescent="0.2">
      <c r="G48" s="34"/>
    </row>
    <row r="49" spans="1:7" x14ac:dyDescent="0.2">
      <c r="A49" s="25" t="s">
        <v>15</v>
      </c>
      <c r="B49" s="25"/>
      <c r="D49" s="25"/>
      <c r="E49" s="25"/>
      <c r="F49" s="25"/>
      <c r="G49" s="25"/>
    </row>
    <row r="51" spans="1:7" x14ac:dyDescent="0.2">
      <c r="A51" s="102" t="s">
        <v>6</v>
      </c>
      <c r="B51" s="102"/>
      <c r="C51" s="102"/>
      <c r="D51" s="34" t="s">
        <v>7</v>
      </c>
      <c r="E51" s="34" t="s">
        <v>9</v>
      </c>
      <c r="F51" s="34" t="s">
        <v>8</v>
      </c>
      <c r="G51" s="34" t="s">
        <v>16</v>
      </c>
    </row>
    <row r="52" spans="1:7" x14ac:dyDescent="0.2">
      <c r="A52" s="103" t="str">
        <f>LabP8815R6L1G1Desc</f>
        <v>Main Area</v>
      </c>
      <c r="B52" s="103"/>
      <c r="C52" s="103"/>
      <c r="D52" s="36">
        <f>LabP8815R6L1G1Rate</f>
        <v>9</v>
      </c>
      <c r="E52" s="37">
        <f>'HNB-MID-Main Roof'!Area</f>
        <v>49.4</v>
      </c>
      <c r="F52" s="27" t="str">
        <f xml:space="preserve"> "" &amp; LabP8815R6L1G1Per</f>
        <v>m²</v>
      </c>
      <c r="G52" s="36">
        <f>D52 * E52</f>
        <v>444.59999999999997</v>
      </c>
    </row>
    <row r="53" spans="1:7" x14ac:dyDescent="0.2">
      <c r="A53" s="24" t="str">
        <f>LabP8815R0L1G2Desc</f>
        <v>Eave</v>
      </c>
      <c r="D53" s="36">
        <f>LabP8815R0L1G2Rate</f>
        <v>2.5</v>
      </c>
      <c r="E53" s="37">
        <f>'HNB-MID-Main Roof'!Eave</f>
        <v>10</v>
      </c>
      <c r="F53" s="27" t="str">
        <f xml:space="preserve"> "" &amp; LabP8815R0L1G2Per</f>
        <v>m</v>
      </c>
      <c r="G53" s="36">
        <f>D53 * E53</f>
        <v>25</v>
      </c>
    </row>
    <row r="54" spans="1:7" x14ac:dyDescent="0.2">
      <c r="A54" s="24" t="str">
        <f>LabP8815R0L1G8Desc</f>
        <v>Duo Ridge</v>
      </c>
      <c r="D54" s="36">
        <f>LabP8815R0L1G8Rate</f>
        <v>2.5</v>
      </c>
      <c r="E54" s="37">
        <f>'HNB-MID-Main Roof'!DuoRidge</f>
        <v>5</v>
      </c>
      <c r="F54" s="27" t="str">
        <f xml:space="preserve"> "" &amp; LabP8815R0L1G8Per</f>
        <v>m</v>
      </c>
      <c r="G54" s="36">
        <f>D54 * E54</f>
        <v>12.5</v>
      </c>
    </row>
    <row r="55" spans="1:7" x14ac:dyDescent="0.2">
      <c r="A55" s="24" t="str">
        <f>LabP8815R0L1G241Desc</f>
        <v>Party Wall Insulation</v>
      </c>
      <c r="D55" s="36">
        <f>LabP8815R0L1G241Rate</f>
        <v>1.5</v>
      </c>
      <c r="E55" s="37">
        <v>9.8800000000000008</v>
      </c>
      <c r="F55" s="27" t="str">
        <f xml:space="preserve"> "" &amp; LabP8815R0L1G241Per</f>
        <v>m</v>
      </c>
      <c r="G55" s="36">
        <f>D55 * E55</f>
        <v>14.82</v>
      </c>
    </row>
    <row r="56" spans="1:7" x14ac:dyDescent="0.2">
      <c r="D56" s="36"/>
      <c r="E56" s="37"/>
      <c r="F56" s="27"/>
      <c r="G56" s="36"/>
    </row>
    <row r="57" spans="1:7" x14ac:dyDescent="0.2">
      <c r="A57" s="103"/>
      <c r="B57" s="103"/>
      <c r="C57" s="103"/>
      <c r="D57" s="36"/>
      <c r="E57" s="37"/>
      <c r="G57" s="36"/>
    </row>
    <row r="58" spans="1:7" x14ac:dyDescent="0.2">
      <c r="F58" s="34" t="s">
        <v>5</v>
      </c>
      <c r="G58" s="35">
        <f>SUM(G52:G57)</f>
        <v>496.91999999999996</v>
      </c>
    </row>
    <row r="62" spans="1:7" x14ac:dyDescent="0.2">
      <c r="A62" s="34"/>
      <c r="B62" s="38"/>
    </row>
    <row r="64" spans="1:7" x14ac:dyDescent="0.2">
      <c r="A64" s="34"/>
      <c r="B64" s="38"/>
    </row>
    <row r="66" spans="1:3" x14ac:dyDescent="0.2">
      <c r="A66" s="34"/>
      <c r="B66" s="38"/>
    </row>
    <row r="68" spans="1:3" x14ac:dyDescent="0.2">
      <c r="A68" s="34"/>
      <c r="B68" s="38"/>
    </row>
    <row r="71" spans="1:3" x14ac:dyDescent="0.2">
      <c r="A71" s="34"/>
      <c r="B71" s="38"/>
      <c r="C71" s="39"/>
    </row>
    <row r="73" spans="1:3" x14ac:dyDescent="0.2">
      <c r="A73" s="34"/>
      <c r="B73" s="38"/>
    </row>
    <row r="75" spans="1:3" x14ac:dyDescent="0.2">
      <c r="A75" s="34"/>
      <c r="B75" s="38"/>
      <c r="C75" s="39"/>
    </row>
    <row r="77" spans="1:3" x14ac:dyDescent="0.2">
      <c r="A77" s="34"/>
      <c r="B77" s="38"/>
    </row>
    <row r="79" spans="1:3" x14ac:dyDescent="0.2">
      <c r="A79" s="34"/>
      <c r="B79" s="38"/>
    </row>
    <row r="82" spans="1:3" x14ac:dyDescent="0.2">
      <c r="A82" s="34"/>
      <c r="B82" s="38"/>
    </row>
    <row r="84" spans="1:3" x14ac:dyDescent="0.2">
      <c r="A84" s="34"/>
      <c r="B84" s="38"/>
    </row>
    <row r="86" spans="1:3" x14ac:dyDescent="0.2">
      <c r="A86" s="34"/>
      <c r="B86" s="38"/>
      <c r="C86" s="39"/>
    </row>
    <row r="89" spans="1:3" x14ac:dyDescent="0.2">
      <c r="A89" s="34"/>
      <c r="B89" s="40"/>
      <c r="C89" s="23"/>
    </row>
    <row r="92" spans="1:3" x14ac:dyDescent="0.2">
      <c r="A92" s="39"/>
      <c r="B92" s="41"/>
    </row>
  </sheetData>
  <mergeCells count="5">
    <mergeCell ref="B4:F4"/>
    <mergeCell ref="B5:F5"/>
    <mergeCell ref="A51:C51"/>
    <mergeCell ref="A52:C52"/>
    <mergeCell ref="A57:C57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CB6C1-65C0-49B1-A1C5-CDBF3E542C18}">
  <dimension ref="A1:G97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172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145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3.51</v>
      </c>
      <c r="C9" s="23"/>
      <c r="D9" s="26"/>
    </row>
    <row r="10" spans="1:7" x14ac:dyDescent="0.2">
      <c r="A10" s="23" t="s">
        <v>114</v>
      </c>
      <c r="B10" s="24">
        <v>3</v>
      </c>
      <c r="C10" s="23"/>
      <c r="D10" s="26"/>
    </row>
    <row r="11" spans="1:7" x14ac:dyDescent="0.2">
      <c r="A11" s="23" t="s">
        <v>141</v>
      </c>
      <c r="B11" s="24">
        <v>3</v>
      </c>
      <c r="C11" s="23"/>
      <c r="D11" s="26"/>
    </row>
    <row r="12" spans="1:7" x14ac:dyDescent="0.2">
      <c r="A12" s="23" t="s">
        <v>115</v>
      </c>
      <c r="B12" s="24">
        <v>1.17</v>
      </c>
      <c r="C12" s="23"/>
      <c r="D12" s="26"/>
    </row>
    <row r="13" spans="1:7" x14ac:dyDescent="0.2">
      <c r="A13" s="23" t="s">
        <v>116</v>
      </c>
      <c r="B13" s="24">
        <v>1.17</v>
      </c>
      <c r="C13" s="23"/>
      <c r="D13" s="26"/>
    </row>
    <row r="14" spans="1:7" x14ac:dyDescent="0.2">
      <c r="A14" s="23" t="s">
        <v>119</v>
      </c>
      <c r="B14" s="24">
        <v>600</v>
      </c>
      <c r="C14" s="23"/>
      <c r="D14" s="26"/>
    </row>
    <row r="15" spans="1:7" x14ac:dyDescent="0.2">
      <c r="A15" s="23" t="s">
        <v>120</v>
      </c>
      <c r="B15" s="24">
        <v>40</v>
      </c>
      <c r="C15" s="23"/>
      <c r="D15" s="26"/>
    </row>
    <row r="16" spans="1:7" x14ac:dyDescent="0.2">
      <c r="A16" s="23"/>
      <c r="C16" s="23"/>
      <c r="D16" s="26"/>
    </row>
    <row r="17" spans="1:7" x14ac:dyDescent="0.2">
      <c r="A17" s="23"/>
      <c r="B17" s="27"/>
      <c r="C17" s="23"/>
      <c r="D17" s="26"/>
    </row>
    <row r="18" spans="1:7" x14ac:dyDescent="0.2">
      <c r="A18" s="28" t="s">
        <v>10</v>
      </c>
      <c r="B18" s="28"/>
      <c r="C18" s="28"/>
      <c r="D18" s="28"/>
      <c r="E18" s="28"/>
      <c r="F18" s="28"/>
      <c r="G18" s="28"/>
    </row>
    <row r="19" spans="1:7" x14ac:dyDescent="0.2">
      <c r="A19" s="28"/>
      <c r="B19" s="28"/>
      <c r="C19" s="28"/>
      <c r="D19" s="28"/>
      <c r="E19" s="28"/>
      <c r="F19" s="28"/>
      <c r="G19" s="28"/>
    </row>
    <row r="20" spans="1:7" x14ac:dyDescent="0.2">
      <c r="A20" s="29" t="s">
        <v>121</v>
      </c>
      <c r="B20" s="24" t="s">
        <v>122</v>
      </c>
      <c r="C20" s="29"/>
      <c r="D20" s="29"/>
      <c r="E20" s="29"/>
      <c r="F20" s="29"/>
    </row>
    <row r="21" spans="1:7" x14ac:dyDescent="0.2">
      <c r="A21" s="29" t="s">
        <v>123</v>
      </c>
      <c r="B21" s="24" t="s">
        <v>124</v>
      </c>
      <c r="C21" s="29"/>
      <c r="D21" s="29"/>
      <c r="E21" s="29"/>
      <c r="F21" s="29"/>
    </row>
    <row r="22" spans="1:7" x14ac:dyDescent="0.2">
      <c r="A22" s="29"/>
      <c r="B22" s="24" t="s">
        <v>125</v>
      </c>
      <c r="C22" s="29"/>
      <c r="D22" s="29"/>
      <c r="E22" s="29"/>
      <c r="F22" s="29"/>
    </row>
    <row r="23" spans="1:7" x14ac:dyDescent="0.2">
      <c r="A23" s="29" t="s">
        <v>126</v>
      </c>
      <c r="B23" s="24" t="s">
        <v>127</v>
      </c>
      <c r="C23" s="29"/>
      <c r="D23" s="29"/>
      <c r="E23" s="29"/>
      <c r="F23" s="29"/>
    </row>
    <row r="24" spans="1:7" x14ac:dyDescent="0.2">
      <c r="A24" s="29"/>
      <c r="B24" s="24" t="s">
        <v>142</v>
      </c>
      <c r="C24" s="29"/>
      <c r="D24" s="29"/>
      <c r="E24" s="29"/>
      <c r="F24" s="29"/>
    </row>
    <row r="25" spans="1:7" x14ac:dyDescent="0.2">
      <c r="A25" s="29" t="s">
        <v>129</v>
      </c>
      <c r="B25" s="24" t="s">
        <v>130</v>
      </c>
      <c r="C25" s="29"/>
      <c r="D25" s="29"/>
      <c r="E25" s="29"/>
      <c r="F25" s="29"/>
    </row>
    <row r="26" spans="1:7" x14ac:dyDescent="0.2">
      <c r="A26" s="29" t="s">
        <v>134</v>
      </c>
      <c r="B26" s="24" t="s">
        <v>135</v>
      </c>
      <c r="C26" s="29"/>
      <c r="D26" s="29"/>
      <c r="E26" s="29"/>
      <c r="F26" s="29"/>
    </row>
    <row r="27" spans="1:7" x14ac:dyDescent="0.2">
      <c r="A27" s="29" t="s">
        <v>136</v>
      </c>
      <c r="B27" s="24" t="s">
        <v>137</v>
      </c>
      <c r="C27" s="29"/>
      <c r="D27" s="29"/>
      <c r="E27" s="29"/>
      <c r="F27" s="29"/>
    </row>
    <row r="28" spans="1:7" x14ac:dyDescent="0.2">
      <c r="A28" s="29" t="s">
        <v>143</v>
      </c>
      <c r="B28" s="24" t="s">
        <v>144</v>
      </c>
      <c r="C28" s="29"/>
      <c r="D28" s="29"/>
      <c r="E28" s="29"/>
      <c r="F28" s="29"/>
    </row>
    <row r="29" spans="1:7" x14ac:dyDescent="0.2">
      <c r="A29" s="29"/>
      <c r="C29" s="29"/>
      <c r="D29" s="29"/>
      <c r="E29" s="29"/>
      <c r="F29" s="29"/>
    </row>
    <row r="30" spans="1:7" x14ac:dyDescent="0.2">
      <c r="A30" s="29"/>
      <c r="C30" s="29"/>
      <c r="D30" s="29"/>
      <c r="E30" s="29"/>
      <c r="F30" s="29"/>
    </row>
    <row r="31" spans="1:7" x14ac:dyDescent="0.2">
      <c r="A31" s="25" t="s">
        <v>14</v>
      </c>
      <c r="B31" s="25"/>
      <c r="C31" s="25"/>
      <c r="D31" s="25"/>
      <c r="E31" s="25"/>
      <c r="F31" s="25"/>
      <c r="G31" s="25"/>
    </row>
    <row r="33" spans="1:7" s="29" customFormat="1" x14ac:dyDescent="0.2">
      <c r="A33" s="29" t="s">
        <v>25</v>
      </c>
      <c r="B33" s="29" t="s">
        <v>38</v>
      </c>
      <c r="C33" s="29" t="s">
        <v>2</v>
      </c>
      <c r="D33" s="30" t="s">
        <v>9</v>
      </c>
      <c r="E33" s="30" t="s">
        <v>3</v>
      </c>
      <c r="F33" s="30" t="s">
        <v>4</v>
      </c>
      <c r="G33" s="30" t="s">
        <v>16</v>
      </c>
    </row>
    <row r="34" spans="1:7" x14ac:dyDescent="0.2">
      <c r="A34" s="24" t="str">
        <f>MatP8815C0Colour</f>
        <v>Not Specified</v>
      </c>
      <c r="B34" s="24" t="str">
        <f>IF(MatP8815C0Code=0,"",MatP8815C0Code)</f>
        <v/>
      </c>
      <c r="C34" s="24" t="str">
        <f>MatP8815C0Desc</f>
        <v>TLE Tile</v>
      </c>
      <c r="D34" s="31">
        <v>41</v>
      </c>
      <c r="E34" s="32">
        <f>MatP8815C0Price</f>
        <v>1.2</v>
      </c>
      <c r="F34" s="33" t="str">
        <f>MatP8815C0PerText</f>
        <v>Each</v>
      </c>
      <c r="G34" s="32">
        <f t="shared" ref="G34:G49" si="0">D34 * E34</f>
        <v>49.199999999999996</v>
      </c>
    </row>
    <row r="35" spans="1:7" x14ac:dyDescent="0.2">
      <c r="A35" s="24" t="str">
        <f>MatP10135C0Colour</f>
        <v>Not Specified</v>
      </c>
      <c r="B35" s="24" t="str">
        <f>IF(MatP10135C0Code=0,"",MatP10135C0Code)</f>
        <v/>
      </c>
      <c r="C35" s="24" t="str">
        <f>MatP10135C0Desc</f>
        <v>VP300 Vapour Permeable Underlay (50m x 1m)</v>
      </c>
      <c r="D35" s="31">
        <v>0.25</v>
      </c>
      <c r="E35" s="32">
        <f>MatP10135C0Price</f>
        <v>35</v>
      </c>
      <c r="F35" s="33" t="str">
        <f>MatP10135C0PerText</f>
        <v>Roll</v>
      </c>
      <c r="G35" s="32">
        <f t="shared" si="0"/>
        <v>8.75</v>
      </c>
    </row>
    <row r="36" spans="1:7" x14ac:dyDescent="0.2">
      <c r="A36" s="24" t="str">
        <f>MatP9008C0Colour</f>
        <v>Not Specified</v>
      </c>
      <c r="B36" s="24" t="str">
        <f>IF(MatP9008C0Code=0,"",MatP9008C0Code)</f>
        <v/>
      </c>
      <c r="C36" s="24" t="str">
        <f>MatP9008C0Desc</f>
        <v>Battens (50mm x 25mm)</v>
      </c>
      <c r="D36" s="31">
        <v>12</v>
      </c>
      <c r="E36" s="32">
        <f>MatP9008C0Price</f>
        <v>0.9</v>
      </c>
      <c r="F36" s="33" t="str">
        <f>MatP9008C0PerText</f>
        <v>Metre</v>
      </c>
      <c r="G36" s="32">
        <f t="shared" si="0"/>
        <v>10.8</v>
      </c>
    </row>
    <row r="37" spans="1:7" x14ac:dyDescent="0.2">
      <c r="A37" s="24" t="str">
        <f>MatP8857C0Colour</f>
        <v>Not Specified</v>
      </c>
      <c r="B37" s="24" t="str">
        <f>IF(MatP8857C0Code=0,"",MatP8857C0Code)</f>
        <v/>
      </c>
      <c r="C37" s="24" t="str">
        <f>MatP8857C0Desc</f>
        <v>LH Uni-Fix Dry Verge Unit</v>
      </c>
      <c r="D37" s="31">
        <v>8</v>
      </c>
      <c r="E37" s="32">
        <f>MatP8857C0Price</f>
        <v>1.1000000000000001</v>
      </c>
      <c r="F37" s="33" t="str">
        <f>MatP8857C0PerText</f>
        <v>Each</v>
      </c>
      <c r="G37" s="32">
        <f t="shared" si="0"/>
        <v>8.8000000000000007</v>
      </c>
    </row>
    <row r="38" spans="1:7" x14ac:dyDescent="0.2">
      <c r="A38" s="24" t="str">
        <f>MatP8869C0Colour</f>
        <v>Not Specified</v>
      </c>
      <c r="B38" s="24" t="str">
        <f>IF(MatP8869C0Code=0,"",MatP8869C0Code)</f>
        <v/>
      </c>
      <c r="C38" s="24" t="str">
        <f>MatP8869C0Desc</f>
        <v>RH Uni-Fix Dry Verge Unit</v>
      </c>
      <c r="D38" s="31">
        <v>8</v>
      </c>
      <c r="E38" s="32">
        <f>MatP8869C0Price</f>
        <v>1.1000000000000001</v>
      </c>
      <c r="F38" s="33" t="str">
        <f>MatP8869C0PerText</f>
        <v>Each</v>
      </c>
      <c r="G38" s="32">
        <f t="shared" si="0"/>
        <v>8.8000000000000007</v>
      </c>
    </row>
    <row r="39" spans="1:7" x14ac:dyDescent="0.2">
      <c r="A39" s="24" t="str">
        <f>MatP8830C20Colour</f>
        <v>Not Specified</v>
      </c>
      <c r="B39" s="24" t="str">
        <f>IF(MatP8830C20Code=0,"",MatP8830C20Code)</f>
        <v/>
      </c>
      <c r="C39" s="24" t="str">
        <f>MatP8830C20Desc</f>
        <v>Dry Verge Starter Unit</v>
      </c>
      <c r="D39" s="31">
        <v>2</v>
      </c>
      <c r="E39" s="32">
        <f>MatP8830C20Price</f>
        <v>1.51</v>
      </c>
      <c r="F39" s="33" t="str">
        <f>MatP8830C20PerText</f>
        <v>Each</v>
      </c>
      <c r="G39" s="32">
        <f t="shared" si="0"/>
        <v>3.02</v>
      </c>
    </row>
    <row r="40" spans="1:7" x14ac:dyDescent="0.2">
      <c r="A40" s="24" t="str">
        <f>MatP8821C20Colour</f>
        <v>Not Specified</v>
      </c>
      <c r="B40" s="24" t="str">
        <f>IF(MatP8821C20Code=0,"",MatP8821C20Code)</f>
        <v/>
      </c>
      <c r="C40" s="24" t="str">
        <f>MatP8821C20Desc</f>
        <v>25mm Over Fascia Vent (1m)</v>
      </c>
      <c r="D40" s="31">
        <v>3</v>
      </c>
      <c r="E40" s="32">
        <f>MatP8821C20Price</f>
        <v>1.9</v>
      </c>
      <c r="F40" s="33" t="str">
        <f>MatP8821C20PerText</f>
        <v>Each</v>
      </c>
      <c r="G40" s="32">
        <f t="shared" si="0"/>
        <v>5.6999999999999993</v>
      </c>
    </row>
    <row r="41" spans="1:7" x14ac:dyDescent="0.2">
      <c r="A41" s="24" t="str">
        <f>MatP8281C0Colour</f>
        <v>Not Specified</v>
      </c>
      <c r="B41" s="24" t="str">
        <f>IF(MatP8281C0Code=0,"",MatP8281C0Code)</f>
        <v/>
      </c>
      <c r="C41" s="24" t="str">
        <f>MatP8281C0Desc</f>
        <v>Generic Eave Insulation (1m)</v>
      </c>
      <c r="D41" s="31">
        <v>3</v>
      </c>
      <c r="E41" s="32">
        <f>MatP8281C0Price</f>
        <v>5</v>
      </c>
      <c r="F41" s="33" t="str">
        <f>MatP8281C0PerText</f>
        <v>Each</v>
      </c>
      <c r="G41" s="32">
        <f t="shared" si="0"/>
        <v>15</v>
      </c>
    </row>
    <row r="42" spans="1:7" x14ac:dyDescent="0.2">
      <c r="A42" s="24" t="str">
        <f>MatP8866C20Colour</f>
        <v>Not Specified</v>
      </c>
      <c r="B42" s="24" t="str">
        <f>IF(MatP8866C20Code=0,"",MatP8866C20Code)</f>
        <v/>
      </c>
      <c r="C42" s="24" t="str">
        <f>MatP8866C20Desc</f>
        <v>Rafter Roll (6m x 600mm)</v>
      </c>
      <c r="D42" s="31">
        <v>1</v>
      </c>
      <c r="E42" s="32">
        <f>MatP8866C20Price</f>
        <v>9.5</v>
      </c>
      <c r="F42" s="33" t="str">
        <f>MatP8866C20PerText</f>
        <v>Each</v>
      </c>
      <c r="G42" s="32">
        <f t="shared" si="0"/>
        <v>9.5</v>
      </c>
    </row>
    <row r="43" spans="1:7" x14ac:dyDescent="0.2">
      <c r="A43" s="24" t="str">
        <f>MatP8874C20Colour</f>
        <v>Not Specified</v>
      </c>
      <c r="B43" s="24" t="str">
        <f>IF(MatP8874C20Code=0,"",MatP8874C20Code)</f>
        <v/>
      </c>
      <c r="C43" s="24" t="str">
        <f>MatP8874C20Desc</f>
        <v>Underlay Support Tray (1.5m)</v>
      </c>
      <c r="D43" s="31">
        <v>2</v>
      </c>
      <c r="E43" s="32">
        <f>MatP8874C20Price</f>
        <v>1.5</v>
      </c>
      <c r="F43" s="33" t="str">
        <f>MatP8874C20PerText</f>
        <v>Each</v>
      </c>
      <c r="G43" s="32">
        <f t="shared" si="0"/>
        <v>3</v>
      </c>
    </row>
    <row r="44" spans="1:7" x14ac:dyDescent="0.2">
      <c r="A44" s="24" t="str">
        <f>MatP8872C539Colour</f>
        <v>Not Specified</v>
      </c>
      <c r="B44" s="24" t="str">
        <f>IF(MatP8872C539Code=0,"",MatP8872C539Code)</f>
        <v/>
      </c>
      <c r="C44" s="24" t="str">
        <f>MatP8872C539Desc</f>
        <v>Sidelock Tile Clips (TLE)</v>
      </c>
      <c r="D44" s="31">
        <v>6</v>
      </c>
      <c r="E44" s="32">
        <f>MatP8872C539Price</f>
        <v>7.0000000000000007E-2</v>
      </c>
      <c r="F44" s="33" t="str">
        <f>MatP8872C539PerText</f>
        <v>Each</v>
      </c>
      <c r="G44" s="32">
        <f t="shared" si="0"/>
        <v>0.42000000000000004</v>
      </c>
    </row>
    <row r="45" spans="1:7" x14ac:dyDescent="0.2">
      <c r="A45" s="24" t="str">
        <f>MatP8826C539Colour</f>
        <v>Not Specified</v>
      </c>
      <c r="B45" s="24" t="str">
        <f>IF(MatP8826C539Code=0,"",MatP8826C539Code)</f>
        <v/>
      </c>
      <c r="C45" s="24" t="str">
        <f>MatP8826C539Desc</f>
        <v>Metal Batten End Clips</v>
      </c>
      <c r="D45" s="31">
        <v>8</v>
      </c>
      <c r="E45" s="32">
        <f>MatP8826C539Price</f>
        <v>0.28000000000000003</v>
      </c>
      <c r="F45" s="33" t="str">
        <f>MatP8826C539PerText</f>
        <v>Each</v>
      </c>
      <c r="G45" s="32">
        <f t="shared" si="0"/>
        <v>2.2400000000000002</v>
      </c>
    </row>
    <row r="46" spans="1:7" x14ac:dyDescent="0.2">
      <c r="A46" s="24" t="str">
        <f>MatP8831C539Colour</f>
        <v>Not Specified</v>
      </c>
      <c r="B46" s="24" t="str">
        <f>IF(MatP8831C539Code=0,"",MatP8831C539Code)</f>
        <v/>
      </c>
      <c r="C46" s="24" t="str">
        <f>MatP8831C539Desc</f>
        <v>Eave Clip</v>
      </c>
      <c r="D46" s="31">
        <v>10</v>
      </c>
      <c r="E46" s="32">
        <f>MatP8831C539Price</f>
        <v>0.1</v>
      </c>
      <c r="F46" s="33" t="str">
        <f>MatP8831C539PerText</f>
        <v>Each</v>
      </c>
      <c r="G46" s="32">
        <f t="shared" si="0"/>
        <v>1</v>
      </c>
    </row>
    <row r="47" spans="1:7" x14ac:dyDescent="0.2">
      <c r="A47" s="24" t="str">
        <f>MatP9318C0Colour</f>
        <v>Not Specified</v>
      </c>
      <c r="B47" s="24" t="str">
        <f>IF(MatP9318C0Code=0,"",MatP9318C0Code)</f>
        <v/>
      </c>
      <c r="C47" s="24" t="str">
        <f>MatP9318C0Desc</f>
        <v>45mm x 3.35mm Aluminium Nails</v>
      </c>
      <c r="D47" s="31">
        <v>1</v>
      </c>
      <c r="E47" s="32">
        <f>MatP9318C0Price</f>
        <v>7.28</v>
      </c>
      <c r="F47" s="33" t="str">
        <f>MatP9318C0PerText</f>
        <v>Kg</v>
      </c>
      <c r="G47" s="32">
        <f t="shared" si="0"/>
        <v>7.28</v>
      </c>
    </row>
    <row r="48" spans="1:7" x14ac:dyDescent="0.2">
      <c r="A48" s="24" t="str">
        <f>MatP9100C0Colour</f>
        <v>Not Specified</v>
      </c>
      <c r="B48" s="24" t="str">
        <f>IF(MatP9100C0Code=0,"",MatP9100C0Code)</f>
        <v/>
      </c>
      <c r="C48" s="24" t="str">
        <f>MatP9100C0Desc</f>
        <v>Batten Nails - 65mm x 3.35mm Galvanised</v>
      </c>
      <c r="D48" s="31">
        <v>1</v>
      </c>
      <c r="E48" s="32">
        <f>MatP9100C0Price</f>
        <v>4.5</v>
      </c>
      <c r="F48" s="33" t="str">
        <f>MatP9100C0PerText</f>
        <v>Kg</v>
      </c>
      <c r="G48" s="32">
        <f t="shared" si="0"/>
        <v>4.5</v>
      </c>
    </row>
    <row r="49" spans="1:7" x14ac:dyDescent="0.2">
      <c r="A49" s="24" t="str">
        <f>MatP9066C92Colour</f>
        <v>Not Specified</v>
      </c>
      <c r="B49" s="24" t="str">
        <f>IF(MatP9066C92Code=0,"",MatP9066C92Code)</f>
        <v/>
      </c>
      <c r="C49" s="24" t="str">
        <f>MatP9066C92Desc</f>
        <v>Lead Code 4 - 300mm (6m)</v>
      </c>
      <c r="D49" s="31">
        <v>6</v>
      </c>
      <c r="E49" s="32">
        <f>MatP9066C92Price</f>
        <v>15.21</v>
      </c>
      <c r="F49" s="33" t="str">
        <f>MatP9066C92PerText</f>
        <v>Metre</v>
      </c>
      <c r="G49" s="32">
        <f t="shared" si="0"/>
        <v>91.26</v>
      </c>
    </row>
    <row r="50" spans="1:7" x14ac:dyDescent="0.2">
      <c r="D50" s="31"/>
      <c r="E50" s="32"/>
      <c r="F50" s="33"/>
      <c r="G50" s="32"/>
    </row>
    <row r="51" spans="1:7" x14ac:dyDescent="0.2">
      <c r="F51" s="34" t="s">
        <v>5</v>
      </c>
      <c r="G51" s="35">
        <f>SUM(G34:G50)</f>
        <v>229.26999999999998</v>
      </c>
    </row>
    <row r="52" spans="1:7" x14ac:dyDescent="0.2">
      <c r="G52" s="34"/>
    </row>
    <row r="53" spans="1:7" x14ac:dyDescent="0.2">
      <c r="A53" s="25" t="s">
        <v>15</v>
      </c>
      <c r="B53" s="25"/>
      <c r="D53" s="25"/>
      <c r="E53" s="25"/>
      <c r="F53" s="25"/>
      <c r="G53" s="25"/>
    </row>
    <row r="55" spans="1:7" x14ac:dyDescent="0.2">
      <c r="A55" s="102" t="s">
        <v>6</v>
      </c>
      <c r="B55" s="102"/>
      <c r="C55" s="102"/>
      <c r="D55" s="34" t="s">
        <v>7</v>
      </c>
      <c r="E55" s="34" t="s">
        <v>9</v>
      </c>
      <c r="F55" s="34" t="s">
        <v>8</v>
      </c>
      <c r="G55" s="34" t="s">
        <v>16</v>
      </c>
    </row>
    <row r="56" spans="1:7" x14ac:dyDescent="0.2">
      <c r="A56" s="103" t="str">
        <f>LabP8815R6L1G1Desc</f>
        <v>Main Area</v>
      </c>
      <c r="B56" s="103"/>
      <c r="C56" s="103"/>
      <c r="D56" s="36">
        <f>LabP8815R6L1G1Rate</f>
        <v>9</v>
      </c>
      <c r="E56" s="37">
        <f>'HNB-MID-Porch (Lean to)'!Area</f>
        <v>3.51</v>
      </c>
      <c r="F56" s="27" t="str">
        <f xml:space="preserve"> "" &amp; LabP8815R6L1G1Per</f>
        <v>m²</v>
      </c>
      <c r="G56" s="36">
        <f>D56 * E56</f>
        <v>31.589999999999996</v>
      </c>
    </row>
    <row r="57" spans="1:7" x14ac:dyDescent="0.2">
      <c r="A57" s="24" t="str">
        <f>LabP8815R0L1G2Desc</f>
        <v>Eave</v>
      </c>
      <c r="D57" s="36">
        <f>LabP8815R0L1G2Rate</f>
        <v>2.5</v>
      </c>
      <c r="E57" s="37">
        <f>'HNB-MID-Porch (Lean to)'!Eave</f>
        <v>3</v>
      </c>
      <c r="F57" s="27" t="str">
        <f xml:space="preserve"> "" &amp; LabP8815R0L1G2Per</f>
        <v>m</v>
      </c>
      <c r="G57" s="36">
        <f>D57 * E57</f>
        <v>7.5</v>
      </c>
    </row>
    <row r="58" spans="1:7" x14ac:dyDescent="0.2">
      <c r="A58" s="24" t="str">
        <f>LabP8815R0L1G3Desc</f>
        <v>Verge</v>
      </c>
      <c r="D58" s="36">
        <f>LabP8815R0L1G3Rate</f>
        <v>2.5</v>
      </c>
      <c r="E58" s="37">
        <f>LeftVerge+RightVerge</f>
        <v>2.34</v>
      </c>
      <c r="F58" s="27" t="str">
        <f xml:space="preserve"> "" &amp; LabP8815R0L1G3Per</f>
        <v>m</v>
      </c>
      <c r="G58" s="36">
        <f>D58 * E58</f>
        <v>5.85</v>
      </c>
    </row>
    <row r="59" spans="1:7" x14ac:dyDescent="0.2">
      <c r="A59" s="24" t="str">
        <f>LabP8815R15L1G243Desc</f>
        <v>Apron Flashing (Code 4)</v>
      </c>
      <c r="D59" s="36">
        <f>LabP8815R15L1G243Rate</f>
        <v>15</v>
      </c>
      <c r="E59" s="37">
        <v>3</v>
      </c>
      <c r="F59" s="27" t="str">
        <f xml:space="preserve"> "" &amp; LabP8815R15L1G243Per</f>
        <v>m</v>
      </c>
      <c r="G59" s="36">
        <f>D59 * E59</f>
        <v>45</v>
      </c>
    </row>
    <row r="60" spans="1:7" x14ac:dyDescent="0.2">
      <c r="A60" s="24" t="str">
        <f>LabP8815R150LabLabourforPorchesDesc</f>
        <v>Labour for Porches</v>
      </c>
      <c r="D60" s="36">
        <f>LabP8815R150LabLabourforPorchesRate</f>
        <v>150</v>
      </c>
      <c r="E60" s="37">
        <v>1</v>
      </c>
      <c r="F60" s="27" t="str">
        <f xml:space="preserve"> "" &amp; LabP8815R150LabLabourforPorchesPer</f>
        <v/>
      </c>
      <c r="G60" s="36">
        <f>D60 * E60</f>
        <v>150</v>
      </c>
    </row>
    <row r="61" spans="1:7" x14ac:dyDescent="0.2">
      <c r="D61" s="36"/>
      <c r="E61" s="37"/>
      <c r="F61" s="27"/>
      <c r="G61" s="36"/>
    </row>
    <row r="62" spans="1:7" x14ac:dyDescent="0.2">
      <c r="A62" s="103"/>
      <c r="B62" s="103"/>
      <c r="C62" s="103"/>
      <c r="D62" s="36"/>
      <c r="E62" s="37"/>
      <c r="G62" s="36"/>
    </row>
    <row r="63" spans="1:7" x14ac:dyDescent="0.2">
      <c r="F63" s="34" t="s">
        <v>5</v>
      </c>
      <c r="G63" s="35">
        <f>SUM(G56:G62)</f>
        <v>239.94</v>
      </c>
    </row>
    <row r="67" spans="1:3" x14ac:dyDescent="0.2">
      <c r="A67" s="34"/>
      <c r="B67" s="38"/>
    </row>
    <row r="69" spans="1:3" x14ac:dyDescent="0.2">
      <c r="A69" s="34"/>
      <c r="B69" s="38"/>
    </row>
    <row r="71" spans="1:3" x14ac:dyDescent="0.2">
      <c r="A71" s="34"/>
      <c r="B71" s="38"/>
    </row>
    <row r="73" spans="1:3" x14ac:dyDescent="0.2">
      <c r="A73" s="34"/>
      <c r="B73" s="38"/>
    </row>
    <row r="76" spans="1:3" x14ac:dyDescent="0.2">
      <c r="A76" s="34"/>
      <c r="B76" s="38"/>
      <c r="C76" s="39"/>
    </row>
    <row r="78" spans="1:3" x14ac:dyDescent="0.2">
      <c r="A78" s="34"/>
      <c r="B78" s="38"/>
    </row>
    <row r="80" spans="1:3" x14ac:dyDescent="0.2">
      <c r="A80" s="34"/>
      <c r="B80" s="38"/>
      <c r="C80" s="39"/>
    </row>
    <row r="82" spans="1:3" x14ac:dyDescent="0.2">
      <c r="A82" s="34"/>
      <c r="B82" s="38"/>
    </row>
    <row r="84" spans="1:3" x14ac:dyDescent="0.2">
      <c r="A84" s="34"/>
      <c r="B84" s="38"/>
    </row>
    <row r="87" spans="1:3" x14ac:dyDescent="0.2">
      <c r="A87" s="34"/>
      <c r="B87" s="38"/>
    </row>
    <row r="89" spans="1:3" x14ac:dyDescent="0.2">
      <c r="A89" s="34"/>
      <c r="B89" s="38"/>
    </row>
    <row r="91" spans="1:3" x14ac:dyDescent="0.2">
      <c r="A91" s="34"/>
      <c r="B91" s="38"/>
      <c r="C91" s="39"/>
    </row>
    <row r="94" spans="1:3" x14ac:dyDescent="0.2">
      <c r="A94" s="34"/>
      <c r="B94" s="40"/>
      <c r="C94" s="23"/>
    </row>
    <row r="97" spans="1:2" x14ac:dyDescent="0.2">
      <c r="A97" s="39"/>
      <c r="B97" s="41"/>
    </row>
  </sheetData>
  <mergeCells count="5">
    <mergeCell ref="B4:F4"/>
    <mergeCell ref="B5:F5"/>
    <mergeCell ref="A55:C55"/>
    <mergeCell ref="A56:C56"/>
    <mergeCell ref="A62:C62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A01AF-C679-4545-BA0C-E23CAD485160}">
  <dimension ref="A1:G102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175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139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102.76</v>
      </c>
      <c r="C9" s="23"/>
      <c r="D9" s="26"/>
    </row>
    <row r="10" spans="1:7" x14ac:dyDescent="0.2">
      <c r="A10" s="23" t="s">
        <v>114</v>
      </c>
      <c r="B10" s="24">
        <v>20.8</v>
      </c>
      <c r="C10" s="23"/>
      <c r="D10" s="26"/>
    </row>
    <row r="11" spans="1:7" x14ac:dyDescent="0.2">
      <c r="A11" s="23" t="s">
        <v>115</v>
      </c>
      <c r="B11" s="24">
        <v>9.8800000000000008</v>
      </c>
      <c r="C11" s="23"/>
      <c r="D11" s="26"/>
    </row>
    <row r="12" spans="1:7" x14ac:dyDescent="0.2">
      <c r="A12" s="23" t="s">
        <v>116</v>
      </c>
      <c r="B12" s="24">
        <v>9.8800000000000008</v>
      </c>
      <c r="C12" s="23"/>
      <c r="D12" s="26"/>
    </row>
    <row r="13" spans="1:7" x14ac:dyDescent="0.2">
      <c r="A13" s="23" t="s">
        <v>117</v>
      </c>
      <c r="B13" s="24">
        <v>10.4</v>
      </c>
      <c r="C13" s="23"/>
      <c r="D13" s="26"/>
    </row>
    <row r="14" spans="1:7" x14ac:dyDescent="0.2">
      <c r="A14" s="23" t="s">
        <v>118</v>
      </c>
      <c r="B14" s="24">
        <v>9.8800000000000008</v>
      </c>
      <c r="C14" s="23"/>
      <c r="D14" s="26"/>
    </row>
    <row r="15" spans="1:7" x14ac:dyDescent="0.2">
      <c r="A15" s="23" t="s">
        <v>119</v>
      </c>
      <c r="B15" s="24">
        <v>600</v>
      </c>
      <c r="C15" s="23"/>
      <c r="D15" s="26"/>
    </row>
    <row r="16" spans="1:7" x14ac:dyDescent="0.2">
      <c r="A16" s="23" t="s">
        <v>120</v>
      </c>
      <c r="B16" s="24">
        <v>35</v>
      </c>
      <c r="C16" s="23"/>
      <c r="D16" s="26"/>
    </row>
    <row r="17" spans="1:7" x14ac:dyDescent="0.2">
      <c r="A17" s="23"/>
      <c r="C17" s="23"/>
      <c r="D17" s="26"/>
    </row>
    <row r="18" spans="1:7" x14ac:dyDescent="0.2">
      <c r="A18" s="23"/>
      <c r="B18" s="27"/>
      <c r="C18" s="23"/>
      <c r="D18" s="26"/>
    </row>
    <row r="19" spans="1:7" x14ac:dyDescent="0.2">
      <c r="A19" s="28" t="s">
        <v>10</v>
      </c>
      <c r="B19" s="28"/>
      <c r="C19" s="28"/>
      <c r="D19" s="28"/>
      <c r="E19" s="28"/>
      <c r="F19" s="28"/>
      <c r="G19" s="28"/>
    </row>
    <row r="20" spans="1:7" x14ac:dyDescent="0.2">
      <c r="A20" s="28"/>
      <c r="B20" s="28"/>
      <c r="C20" s="28"/>
      <c r="D20" s="28"/>
      <c r="E20" s="28"/>
      <c r="F20" s="28"/>
      <c r="G20" s="28"/>
    </row>
    <row r="21" spans="1:7" x14ac:dyDescent="0.2">
      <c r="A21" s="29" t="s">
        <v>121</v>
      </c>
      <c r="B21" s="24" t="s">
        <v>122</v>
      </c>
      <c r="C21" s="29"/>
      <c r="D21" s="29"/>
      <c r="E21" s="29"/>
      <c r="F21" s="29"/>
    </row>
    <row r="22" spans="1:7" x14ac:dyDescent="0.2">
      <c r="A22" s="29" t="s">
        <v>123</v>
      </c>
      <c r="B22" s="24" t="s">
        <v>124</v>
      </c>
      <c r="C22" s="29"/>
      <c r="D22" s="29"/>
      <c r="E22" s="29"/>
      <c r="F22" s="29"/>
    </row>
    <row r="23" spans="1:7" x14ac:dyDescent="0.2">
      <c r="A23" s="29"/>
      <c r="B23" s="24" t="s">
        <v>125</v>
      </c>
      <c r="C23" s="29"/>
      <c r="D23" s="29"/>
      <c r="E23" s="29"/>
      <c r="F23" s="29"/>
    </row>
    <row r="24" spans="1:7" x14ac:dyDescent="0.2">
      <c r="A24" s="29" t="s">
        <v>126</v>
      </c>
      <c r="B24" s="24" t="s">
        <v>127</v>
      </c>
      <c r="C24" s="29"/>
      <c r="D24" s="29"/>
      <c r="E24" s="29"/>
      <c r="F24" s="29"/>
    </row>
    <row r="25" spans="1:7" x14ac:dyDescent="0.2">
      <c r="A25" s="29"/>
      <c r="B25" s="24" t="s">
        <v>128</v>
      </c>
      <c r="C25" s="29"/>
      <c r="D25" s="29"/>
      <c r="E25" s="29"/>
      <c r="F25" s="29"/>
    </row>
    <row r="26" spans="1:7" x14ac:dyDescent="0.2">
      <c r="A26" s="29" t="s">
        <v>129</v>
      </c>
      <c r="B26" s="24" t="s">
        <v>130</v>
      </c>
      <c r="C26" s="29"/>
      <c r="D26" s="29"/>
      <c r="E26" s="29"/>
      <c r="F26" s="29"/>
    </row>
    <row r="27" spans="1:7" x14ac:dyDescent="0.2">
      <c r="A27" s="29"/>
      <c r="B27" s="24" t="s">
        <v>150</v>
      </c>
      <c r="C27" s="29"/>
      <c r="D27" s="29"/>
      <c r="E27" s="29"/>
      <c r="F27" s="29"/>
    </row>
    <row r="28" spans="1:7" x14ac:dyDescent="0.2">
      <c r="A28" s="29" t="s">
        <v>132</v>
      </c>
      <c r="B28" s="24" t="s">
        <v>133</v>
      </c>
      <c r="C28" s="29"/>
      <c r="D28" s="29"/>
      <c r="E28" s="29"/>
      <c r="F28" s="29"/>
    </row>
    <row r="29" spans="1:7" x14ac:dyDescent="0.2">
      <c r="A29" s="29" t="s">
        <v>134</v>
      </c>
      <c r="B29" s="24" t="s">
        <v>135</v>
      </c>
      <c r="C29" s="29"/>
      <c r="D29" s="29"/>
      <c r="E29" s="29"/>
      <c r="F29" s="29"/>
    </row>
    <row r="30" spans="1:7" x14ac:dyDescent="0.2">
      <c r="A30" s="29" t="s">
        <v>136</v>
      </c>
      <c r="B30" s="24" t="s">
        <v>137</v>
      </c>
      <c r="C30" s="29"/>
      <c r="D30" s="29"/>
      <c r="E30" s="29"/>
      <c r="F30" s="29"/>
    </row>
    <row r="31" spans="1:7" x14ac:dyDescent="0.2">
      <c r="A31" s="29"/>
      <c r="C31" s="29"/>
      <c r="D31" s="29"/>
      <c r="E31" s="29"/>
      <c r="F31" s="29"/>
    </row>
    <row r="32" spans="1:7" x14ac:dyDescent="0.2">
      <c r="A32" s="29"/>
      <c r="C32" s="29"/>
      <c r="D32" s="29"/>
      <c r="E32" s="29"/>
      <c r="F32" s="29"/>
    </row>
    <row r="33" spans="1:7" x14ac:dyDescent="0.2">
      <c r="A33" s="25" t="s">
        <v>14</v>
      </c>
      <c r="B33" s="25"/>
      <c r="C33" s="25"/>
      <c r="D33" s="25"/>
      <c r="E33" s="25"/>
      <c r="F33" s="25"/>
      <c r="G33" s="25"/>
    </row>
    <row r="35" spans="1:7" s="29" customFormat="1" x14ac:dyDescent="0.2">
      <c r="A35" s="29" t="s">
        <v>25</v>
      </c>
      <c r="B35" s="29" t="s">
        <v>38</v>
      </c>
      <c r="C35" s="29" t="s">
        <v>2</v>
      </c>
      <c r="D35" s="30" t="s">
        <v>9</v>
      </c>
      <c r="E35" s="30" t="s">
        <v>3</v>
      </c>
      <c r="F35" s="30" t="s">
        <v>4</v>
      </c>
      <c r="G35" s="30" t="s">
        <v>16</v>
      </c>
    </row>
    <row r="36" spans="1:7" x14ac:dyDescent="0.2">
      <c r="A36" s="24" t="str">
        <f>MatP8815C0Colour</f>
        <v>Not Specified</v>
      </c>
      <c r="B36" s="24" t="str">
        <f>IF(MatP8815C0Code=0,"",MatP8815C0Code)</f>
        <v/>
      </c>
      <c r="C36" s="24" t="str">
        <f>MatP8815C0Desc</f>
        <v>TLE Tile</v>
      </c>
      <c r="D36" s="31">
        <v>1082</v>
      </c>
      <c r="E36" s="32">
        <f>MatP8815C0Price</f>
        <v>1.2</v>
      </c>
      <c r="F36" s="33" t="str">
        <f>MatP8815C0PerText</f>
        <v>Each</v>
      </c>
      <c r="G36" s="32">
        <f t="shared" ref="G36:G54" si="0">D36 * E36</f>
        <v>1298.3999999999999</v>
      </c>
    </row>
    <row r="37" spans="1:7" x14ac:dyDescent="0.2">
      <c r="A37" s="24" t="str">
        <f>MatP8870C0Colour</f>
        <v>Not Specified</v>
      </c>
      <c r="B37" s="24" t="str">
        <f>IF(MatP8870C0Code=0,"",MatP8870C0Code)</f>
        <v/>
      </c>
      <c r="C37" s="24" t="str">
        <f>MatP8870C0Desc</f>
        <v>Ridge Tile (450mm)</v>
      </c>
      <c r="D37" s="31">
        <v>24</v>
      </c>
      <c r="E37" s="32">
        <f>MatP8870C0Price</f>
        <v>3.64</v>
      </c>
      <c r="F37" s="33" t="str">
        <f>MatP8870C0PerText</f>
        <v>Each</v>
      </c>
      <c r="G37" s="32">
        <f t="shared" si="0"/>
        <v>87.36</v>
      </c>
    </row>
    <row r="38" spans="1:7" x14ac:dyDescent="0.2">
      <c r="A38" s="24" t="str">
        <f>MatP10135C0Colour</f>
        <v>Not Specified</v>
      </c>
      <c r="B38" s="24" t="str">
        <f>IF(MatP10135C0Code=0,"",MatP10135C0Code)</f>
        <v/>
      </c>
      <c r="C38" s="24" t="str">
        <f>MatP10135C0Desc</f>
        <v>VP300 Vapour Permeable Underlay (50m x 1m)</v>
      </c>
      <c r="D38" s="31">
        <v>3</v>
      </c>
      <c r="E38" s="32">
        <f>MatP10135C0Price</f>
        <v>35</v>
      </c>
      <c r="F38" s="33" t="str">
        <f>MatP10135C0PerText</f>
        <v>Roll</v>
      </c>
      <c r="G38" s="32">
        <f t="shared" si="0"/>
        <v>105</v>
      </c>
    </row>
    <row r="39" spans="1:7" x14ac:dyDescent="0.2">
      <c r="A39" s="24" t="str">
        <f>MatP9008C0Colour</f>
        <v>Not Specified</v>
      </c>
      <c r="B39" s="24" t="str">
        <f>IF(MatP9008C0Code=0,"",MatP9008C0Code)</f>
        <v/>
      </c>
      <c r="C39" s="24" t="str">
        <f>MatP9008C0Desc</f>
        <v>Battens (50mm x 25mm)</v>
      </c>
      <c r="D39" s="31">
        <v>351</v>
      </c>
      <c r="E39" s="32">
        <f>MatP9008C0Price</f>
        <v>0.9</v>
      </c>
      <c r="F39" s="33" t="str">
        <f>MatP9008C0PerText</f>
        <v>Metre</v>
      </c>
      <c r="G39" s="32">
        <f t="shared" si="0"/>
        <v>315.90000000000003</v>
      </c>
    </row>
    <row r="40" spans="1:7" x14ac:dyDescent="0.2">
      <c r="A40" s="24" t="str">
        <f>MatP8879C15Colour</f>
        <v>Not Specified</v>
      </c>
      <c r="B40" s="24" t="str">
        <f>IF(MatP8879C15Code=0,"",MatP8879C15Code)</f>
        <v/>
      </c>
      <c r="C40" s="24" t="str">
        <f>MatP8879C15Desc</f>
        <v>Universal Dry Ridge/Hip System (6m)</v>
      </c>
      <c r="D40" s="31">
        <v>2</v>
      </c>
      <c r="E40" s="32">
        <f>MatP8879C15Price</f>
        <v>28.09</v>
      </c>
      <c r="F40" s="33" t="str">
        <f>MatP8879C15PerText</f>
        <v>Pack</v>
      </c>
      <c r="G40" s="32">
        <f t="shared" si="0"/>
        <v>56.18</v>
      </c>
    </row>
    <row r="41" spans="1:7" x14ac:dyDescent="0.2">
      <c r="A41" s="24" t="str">
        <f>MatP8857C0Colour</f>
        <v>Not Specified</v>
      </c>
      <c r="B41" s="24" t="str">
        <f>IF(MatP8857C0Code=0,"",MatP8857C0Code)</f>
        <v/>
      </c>
      <c r="C41" s="24" t="str">
        <f>MatP8857C0Desc</f>
        <v>LH Uni-Fix Dry Verge Unit</v>
      </c>
      <c r="D41" s="31">
        <v>60</v>
      </c>
      <c r="E41" s="32">
        <f>MatP8857C0Price</f>
        <v>1.1000000000000001</v>
      </c>
      <c r="F41" s="33" t="str">
        <f>MatP8857C0PerText</f>
        <v>Each</v>
      </c>
      <c r="G41" s="32">
        <f t="shared" si="0"/>
        <v>66</v>
      </c>
    </row>
    <row r="42" spans="1:7" x14ac:dyDescent="0.2">
      <c r="A42" s="24" t="str">
        <f>MatP8869C0Colour</f>
        <v>Not Specified</v>
      </c>
      <c r="B42" s="24" t="str">
        <f>IF(MatP8869C0Code=0,"",MatP8869C0Code)</f>
        <v/>
      </c>
      <c r="C42" s="24" t="str">
        <f>MatP8869C0Desc</f>
        <v>RH Uni-Fix Dry Verge Unit</v>
      </c>
      <c r="D42" s="31">
        <v>60</v>
      </c>
      <c r="E42" s="32">
        <f>MatP8869C0Price</f>
        <v>1.1000000000000001</v>
      </c>
      <c r="F42" s="33" t="str">
        <f>MatP8869C0PerText</f>
        <v>Each</v>
      </c>
      <c r="G42" s="32">
        <f t="shared" si="0"/>
        <v>66</v>
      </c>
    </row>
    <row r="43" spans="1:7" x14ac:dyDescent="0.2">
      <c r="A43" s="24" t="str">
        <f>MatP8877C0Colour</f>
        <v>Not Specified</v>
      </c>
      <c r="B43" s="24" t="str">
        <f>IF(MatP8877C0Code=0,"",MatP8877C0Code)</f>
        <v/>
      </c>
      <c r="C43" s="24" t="str">
        <f>MatP8877C0Desc</f>
        <v>Uni-Fix Universal Ridge End Cap</v>
      </c>
      <c r="D43" s="31">
        <v>2</v>
      </c>
      <c r="E43" s="32">
        <f>MatP8877C0Price</f>
        <v>1.6</v>
      </c>
      <c r="F43" s="33" t="str">
        <f>MatP8877C0PerText</f>
        <v>Each</v>
      </c>
      <c r="G43" s="32">
        <f t="shared" si="0"/>
        <v>3.2</v>
      </c>
    </row>
    <row r="44" spans="1:7" x14ac:dyDescent="0.2">
      <c r="A44" s="24" t="str">
        <f>MatP8830C20Colour</f>
        <v>Not Specified</v>
      </c>
      <c r="B44" s="24" t="str">
        <f>IF(MatP8830C20Code=0,"",MatP8830C20Code)</f>
        <v/>
      </c>
      <c r="C44" s="24" t="str">
        <f>MatP8830C20Desc</f>
        <v>Dry Verge Starter Unit</v>
      </c>
      <c r="D44" s="31">
        <v>4</v>
      </c>
      <c r="E44" s="32">
        <f>MatP8830C20Price</f>
        <v>1.51</v>
      </c>
      <c r="F44" s="33" t="str">
        <f>MatP8830C20PerText</f>
        <v>Each</v>
      </c>
      <c r="G44" s="32">
        <f t="shared" si="0"/>
        <v>6.04</v>
      </c>
    </row>
    <row r="45" spans="1:7" x14ac:dyDescent="0.2">
      <c r="A45" s="24" t="str">
        <f>MatP8281C0Colour</f>
        <v>Not Specified</v>
      </c>
      <c r="B45" s="24" t="str">
        <f>IF(MatP8281C0Code=0,"",MatP8281C0Code)</f>
        <v/>
      </c>
      <c r="C45" s="24" t="str">
        <f>MatP8281C0Desc</f>
        <v>Generic Eave Insulation (1m)</v>
      </c>
      <c r="D45" s="31">
        <v>21</v>
      </c>
      <c r="E45" s="32">
        <f>MatP8281C0Price</f>
        <v>5</v>
      </c>
      <c r="F45" s="33" t="str">
        <f>MatP8281C0PerText</f>
        <v>Each</v>
      </c>
      <c r="G45" s="32">
        <f t="shared" si="0"/>
        <v>105</v>
      </c>
    </row>
    <row r="46" spans="1:7" x14ac:dyDescent="0.2">
      <c r="A46" s="24" t="str">
        <f>MatP8820C20Colour</f>
        <v>Not Specified</v>
      </c>
      <c r="B46" s="24" t="str">
        <f>IF(MatP8820C20Code=0,"",MatP8820C20Code)</f>
        <v/>
      </c>
      <c r="C46" s="24" t="str">
        <f>MatP8820C20Desc</f>
        <v>10mm Over Fascia Vent (1m)</v>
      </c>
      <c r="D46" s="31">
        <v>21</v>
      </c>
      <c r="E46" s="32">
        <f>MatP8820C20Price</f>
        <v>1.7</v>
      </c>
      <c r="F46" s="33" t="str">
        <f>MatP8820C20PerText</f>
        <v>Each</v>
      </c>
      <c r="G46" s="32">
        <f t="shared" si="0"/>
        <v>35.699999999999996</v>
      </c>
    </row>
    <row r="47" spans="1:7" x14ac:dyDescent="0.2">
      <c r="A47" s="24" t="str">
        <f>MatP8624C0Colour</f>
        <v>Not Specified</v>
      </c>
      <c r="B47" s="24" t="str">
        <f>IF(MatP8624C0Code=0,"",MatP8624C0Code)</f>
        <v/>
      </c>
      <c r="C47" s="24" t="str">
        <f>MatP8624C0Desc</f>
        <v>Generic Party Wall Insulation (1m)</v>
      </c>
      <c r="D47" s="31">
        <v>10</v>
      </c>
      <c r="E47" s="32">
        <f>MatP8624C0Price</f>
        <v>5</v>
      </c>
      <c r="F47" s="33" t="str">
        <f>MatP8624C0PerText</f>
        <v>Each</v>
      </c>
      <c r="G47" s="32">
        <f t="shared" si="0"/>
        <v>50</v>
      </c>
    </row>
    <row r="48" spans="1:7" x14ac:dyDescent="0.2">
      <c r="A48" s="24" t="str">
        <f>MatP8866C20Colour</f>
        <v>Not Specified</v>
      </c>
      <c r="B48" s="24" t="str">
        <f>IF(MatP8866C20Code=0,"",MatP8866C20Code)</f>
        <v/>
      </c>
      <c r="C48" s="24" t="str">
        <f>MatP8866C20Desc</f>
        <v>Rafter Roll (6m x 600mm)</v>
      </c>
      <c r="D48" s="31">
        <v>4</v>
      </c>
      <c r="E48" s="32">
        <f>MatP8866C20Price</f>
        <v>9.5</v>
      </c>
      <c r="F48" s="33" t="str">
        <f>MatP8866C20PerText</f>
        <v>Each</v>
      </c>
      <c r="G48" s="32">
        <f t="shared" si="0"/>
        <v>38</v>
      </c>
    </row>
    <row r="49" spans="1:7" x14ac:dyDescent="0.2">
      <c r="A49" s="24" t="str">
        <f>MatP8874C20Colour</f>
        <v>Not Specified</v>
      </c>
      <c r="B49" s="24" t="str">
        <f>IF(MatP8874C20Code=0,"",MatP8874C20Code)</f>
        <v/>
      </c>
      <c r="C49" s="24" t="str">
        <f>MatP8874C20Desc</f>
        <v>Underlay Support Tray (1.5m)</v>
      </c>
      <c r="D49" s="31">
        <v>14</v>
      </c>
      <c r="E49" s="32">
        <f>MatP8874C20Price</f>
        <v>1.5</v>
      </c>
      <c r="F49" s="33" t="str">
        <f>MatP8874C20PerText</f>
        <v>Each</v>
      </c>
      <c r="G49" s="32">
        <f t="shared" si="0"/>
        <v>21</v>
      </c>
    </row>
    <row r="50" spans="1:7" x14ac:dyDescent="0.2">
      <c r="A50" s="24" t="str">
        <f>MatP8872C539Colour</f>
        <v>Not Specified</v>
      </c>
      <c r="B50" s="24" t="str">
        <f>IF(MatP8872C539Code=0,"",MatP8872C539Code)</f>
        <v/>
      </c>
      <c r="C50" s="24" t="str">
        <f>MatP8872C539Desc</f>
        <v>Sidelock Tile Clips (TLE)</v>
      </c>
      <c r="D50" s="31">
        <v>425</v>
      </c>
      <c r="E50" s="32">
        <f>MatP8872C539Price</f>
        <v>7.0000000000000007E-2</v>
      </c>
      <c r="F50" s="33" t="str">
        <f>MatP8872C539PerText</f>
        <v>Each</v>
      </c>
      <c r="G50" s="32">
        <f t="shared" si="0"/>
        <v>29.750000000000004</v>
      </c>
    </row>
    <row r="51" spans="1:7" x14ac:dyDescent="0.2">
      <c r="A51" s="24" t="str">
        <f>MatP8826C539Colour</f>
        <v>Not Specified</v>
      </c>
      <c r="B51" s="24" t="str">
        <f>IF(MatP8826C539Code=0,"",MatP8826C539Code)</f>
        <v/>
      </c>
      <c r="C51" s="24" t="str">
        <f>MatP8826C539Desc</f>
        <v>Metal Batten End Clips</v>
      </c>
      <c r="D51" s="31">
        <v>60</v>
      </c>
      <c r="E51" s="32">
        <f>MatP8826C539Price</f>
        <v>0.28000000000000003</v>
      </c>
      <c r="F51" s="33" t="str">
        <f>MatP8826C539PerText</f>
        <v>Each</v>
      </c>
      <c r="G51" s="32">
        <f t="shared" si="0"/>
        <v>16.8</v>
      </c>
    </row>
    <row r="52" spans="1:7" x14ac:dyDescent="0.2">
      <c r="A52" s="24" t="str">
        <f>MatP8831C539Colour</f>
        <v>Not Specified</v>
      </c>
      <c r="B52" s="24" t="str">
        <f>IF(MatP8831C539Code=0,"",MatP8831C539Code)</f>
        <v/>
      </c>
      <c r="C52" s="24" t="str">
        <f>MatP8831C539Desc</f>
        <v>Eave Clip</v>
      </c>
      <c r="D52" s="31">
        <v>70</v>
      </c>
      <c r="E52" s="32">
        <f>MatP8831C539Price</f>
        <v>0.1</v>
      </c>
      <c r="F52" s="33" t="str">
        <f>MatP8831C539PerText</f>
        <v>Each</v>
      </c>
      <c r="G52" s="32">
        <f t="shared" si="0"/>
        <v>7</v>
      </c>
    </row>
    <row r="53" spans="1:7" x14ac:dyDescent="0.2">
      <c r="A53" s="24" t="str">
        <f>MatP9318C0Colour</f>
        <v>Not Specified</v>
      </c>
      <c r="B53" s="24" t="str">
        <f>IF(MatP9318C0Code=0,"",MatP9318C0Code)</f>
        <v/>
      </c>
      <c r="C53" s="24" t="str">
        <f>MatP9318C0Desc</f>
        <v>45mm x 3.35mm Aluminium Nails</v>
      </c>
      <c r="D53" s="31">
        <v>3.0000000596046448</v>
      </c>
      <c r="E53" s="32">
        <f>MatP9318C0Price</f>
        <v>7.28</v>
      </c>
      <c r="F53" s="33" t="str">
        <f>MatP9318C0PerText</f>
        <v>Kg</v>
      </c>
      <c r="G53" s="32">
        <f t="shared" si="0"/>
        <v>21.840000433921816</v>
      </c>
    </row>
    <row r="54" spans="1:7" x14ac:dyDescent="0.2">
      <c r="A54" s="24" t="str">
        <f>MatP9100C0Colour</f>
        <v>Not Specified</v>
      </c>
      <c r="B54" s="24" t="str">
        <f>IF(MatP9100C0Code=0,"",MatP9100C0Code)</f>
        <v/>
      </c>
      <c r="C54" s="24" t="str">
        <f>MatP9100C0Desc</f>
        <v>Batten Nails - 65mm x 3.35mm Galvanised</v>
      </c>
      <c r="D54" s="31">
        <v>3</v>
      </c>
      <c r="E54" s="32">
        <f>MatP9100C0Price</f>
        <v>4.5</v>
      </c>
      <c r="F54" s="33" t="str">
        <f>MatP9100C0PerText</f>
        <v>Kg</v>
      </c>
      <c r="G54" s="32">
        <f t="shared" si="0"/>
        <v>13.5</v>
      </c>
    </row>
    <row r="55" spans="1:7" x14ac:dyDescent="0.2">
      <c r="D55" s="31"/>
      <c r="E55" s="32"/>
      <c r="F55" s="33"/>
      <c r="G55" s="32"/>
    </row>
    <row r="56" spans="1:7" x14ac:dyDescent="0.2">
      <c r="F56" s="34" t="s">
        <v>5</v>
      </c>
      <c r="G56" s="35">
        <f>SUM(G36:G55)</f>
        <v>2342.6700004339218</v>
      </c>
    </row>
    <row r="57" spans="1:7" x14ac:dyDescent="0.2">
      <c r="G57" s="34"/>
    </row>
    <row r="58" spans="1:7" x14ac:dyDescent="0.2">
      <c r="A58" s="25" t="s">
        <v>15</v>
      </c>
      <c r="B58" s="25"/>
      <c r="D58" s="25"/>
      <c r="E58" s="25"/>
      <c r="F58" s="25"/>
      <c r="G58" s="25"/>
    </row>
    <row r="60" spans="1:7" x14ac:dyDescent="0.2">
      <c r="A60" s="102" t="s">
        <v>6</v>
      </c>
      <c r="B60" s="102"/>
      <c r="C60" s="102"/>
      <c r="D60" s="34" t="s">
        <v>7</v>
      </c>
      <c r="E60" s="34" t="s">
        <v>9</v>
      </c>
      <c r="F60" s="34" t="s">
        <v>8</v>
      </c>
      <c r="G60" s="34" t="s">
        <v>16</v>
      </c>
    </row>
    <row r="61" spans="1:7" x14ac:dyDescent="0.2">
      <c r="A61" s="103" t="str">
        <f>LabP8815R6L1G1Desc</f>
        <v>Main Area</v>
      </c>
      <c r="B61" s="103"/>
      <c r="C61" s="103"/>
      <c r="D61" s="36">
        <f>LabP8815R6L1G1Rate</f>
        <v>9</v>
      </c>
      <c r="E61" s="37">
        <f>'HNB-SMI-Main Roof'!Area</f>
        <v>102.76</v>
      </c>
      <c r="F61" s="27" t="str">
        <f xml:space="preserve"> "" &amp; LabP8815R6L1G1Per</f>
        <v>m²</v>
      </c>
      <c r="G61" s="36">
        <f>D61 * E61</f>
        <v>924.84</v>
      </c>
    </row>
    <row r="62" spans="1:7" x14ac:dyDescent="0.2">
      <c r="A62" s="24" t="str">
        <f>LabP8815R0L1G2Desc</f>
        <v>Eave</v>
      </c>
      <c r="D62" s="36">
        <f>LabP8815R0L1G2Rate</f>
        <v>2.5</v>
      </c>
      <c r="E62" s="37">
        <f>'HNB-SMI-Main Roof'!Eave</f>
        <v>20.8</v>
      </c>
      <c r="F62" s="27" t="str">
        <f xml:space="preserve"> "" &amp; LabP8815R0L1G2Per</f>
        <v>m</v>
      </c>
      <c r="G62" s="36">
        <f>D62 * E62</f>
        <v>52</v>
      </c>
    </row>
    <row r="63" spans="1:7" x14ac:dyDescent="0.2">
      <c r="A63" s="24" t="str">
        <f>LabP8815R0L1G3Desc</f>
        <v>Verge</v>
      </c>
      <c r="D63" s="36">
        <f>LabP8815R0L1G3Rate</f>
        <v>2.5</v>
      </c>
      <c r="E63" s="37">
        <f>LeftVerge+RightVerge</f>
        <v>19.760000000000002</v>
      </c>
      <c r="F63" s="27" t="str">
        <f xml:space="preserve"> "" &amp; LabP8815R0L1G3Per</f>
        <v>m</v>
      </c>
      <c r="G63" s="36">
        <f>D63 * E63</f>
        <v>49.400000000000006</v>
      </c>
    </row>
    <row r="64" spans="1:7" x14ac:dyDescent="0.2">
      <c r="A64" s="24" t="str">
        <f>LabP8815R0L1G8Desc</f>
        <v>Duo Ridge</v>
      </c>
      <c r="D64" s="36">
        <f>LabP8815R0L1G8Rate</f>
        <v>2.5</v>
      </c>
      <c r="E64" s="37">
        <f>'HNB-SMI-Main Roof'!DuoRidge</f>
        <v>10.4</v>
      </c>
      <c r="F64" s="27" t="str">
        <f xml:space="preserve"> "" &amp; LabP8815R0L1G8Per</f>
        <v>m</v>
      </c>
      <c r="G64" s="36">
        <f>D64 * E64</f>
        <v>26</v>
      </c>
    </row>
    <row r="65" spans="1:7" x14ac:dyDescent="0.2">
      <c r="A65" s="24" t="str">
        <f>LabP8815R0L1G241Desc</f>
        <v>Party Wall Insulation</v>
      </c>
      <c r="D65" s="36">
        <f>LabP8815R0L1G241Rate</f>
        <v>1.5</v>
      </c>
      <c r="E65" s="37">
        <v>9.8800000000000008</v>
      </c>
      <c r="F65" s="27" t="str">
        <f xml:space="preserve"> "" &amp; LabP8815R0L1G241Per</f>
        <v>m</v>
      </c>
      <c r="G65" s="36">
        <f>D65 * E65</f>
        <v>14.82</v>
      </c>
    </row>
    <row r="66" spans="1:7" x14ac:dyDescent="0.2">
      <c r="D66" s="36"/>
      <c r="E66" s="37"/>
      <c r="F66" s="27"/>
      <c r="G66" s="36"/>
    </row>
    <row r="67" spans="1:7" x14ac:dyDescent="0.2">
      <c r="A67" s="103"/>
      <c r="B67" s="103"/>
      <c r="C67" s="103"/>
      <c r="D67" s="36"/>
      <c r="E67" s="37"/>
      <c r="G67" s="36"/>
    </row>
    <row r="68" spans="1:7" x14ac:dyDescent="0.2">
      <c r="F68" s="34" t="s">
        <v>5</v>
      </c>
      <c r="G68" s="35">
        <f>SUM(G61:G67)</f>
        <v>1067.06</v>
      </c>
    </row>
    <row r="72" spans="1:7" x14ac:dyDescent="0.2">
      <c r="A72" s="34"/>
      <c r="B72" s="38"/>
    </row>
    <row r="74" spans="1:7" x14ac:dyDescent="0.2">
      <c r="A74" s="34"/>
      <c r="B74" s="38"/>
    </row>
    <row r="76" spans="1:7" x14ac:dyDescent="0.2">
      <c r="A76" s="34"/>
      <c r="B76" s="38"/>
    </row>
    <row r="78" spans="1:7" x14ac:dyDescent="0.2">
      <c r="A78" s="34"/>
      <c r="B78" s="38"/>
    </row>
    <row r="81" spans="1:3" x14ac:dyDescent="0.2">
      <c r="A81" s="34"/>
      <c r="B81" s="38"/>
      <c r="C81" s="39"/>
    </row>
    <row r="83" spans="1:3" x14ac:dyDescent="0.2">
      <c r="A83" s="34"/>
      <c r="B83" s="38"/>
    </row>
    <row r="85" spans="1:3" x14ac:dyDescent="0.2">
      <c r="A85" s="34"/>
      <c r="B85" s="38"/>
      <c r="C85" s="39"/>
    </row>
    <row r="87" spans="1:3" x14ac:dyDescent="0.2">
      <c r="A87" s="34"/>
      <c r="B87" s="38"/>
    </row>
    <row r="89" spans="1:3" x14ac:dyDescent="0.2">
      <c r="A89" s="34"/>
      <c r="B89" s="38"/>
    </row>
    <row r="92" spans="1:3" x14ac:dyDescent="0.2">
      <c r="A92" s="34"/>
      <c r="B92" s="38"/>
    </row>
    <row r="94" spans="1:3" x14ac:dyDescent="0.2">
      <c r="A94" s="34"/>
      <c r="B94" s="38"/>
    </row>
    <row r="96" spans="1:3" x14ac:dyDescent="0.2">
      <c r="A96" s="34"/>
      <c r="B96" s="38"/>
      <c r="C96" s="39"/>
    </row>
    <row r="99" spans="1:3" x14ac:dyDescent="0.2">
      <c r="A99" s="34"/>
      <c r="B99" s="40"/>
      <c r="C99" s="23"/>
    </row>
    <row r="102" spans="1:3" x14ac:dyDescent="0.2">
      <c r="A102" s="39"/>
      <c r="B102" s="41"/>
    </row>
  </sheetData>
  <mergeCells count="5">
    <mergeCell ref="B4:F4"/>
    <mergeCell ref="B5:F5"/>
    <mergeCell ref="A60:C60"/>
    <mergeCell ref="A61:C61"/>
    <mergeCell ref="A67:C67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G102"/>
  <sheetViews>
    <sheetView workbookViewId="0">
      <selection activeCell="B37" sqref="B37"/>
    </sheetView>
  </sheetViews>
  <sheetFormatPr defaultColWidth="8.85546875" defaultRowHeight="15" x14ac:dyDescent="0.25"/>
  <cols>
    <col min="1" max="1" width="11.28515625" style="2" customWidth="1"/>
    <col min="2" max="2" width="34" style="7" customWidth="1"/>
    <col min="3" max="7" width="12.140625" style="2" customWidth="1"/>
    <col min="8" max="16384" width="8.85546875" style="2"/>
  </cols>
  <sheetData>
    <row r="1" spans="1:7" x14ac:dyDescent="0.25">
      <c r="A1" s="1" t="s">
        <v>0</v>
      </c>
      <c r="B1" s="8" t="s">
        <v>298</v>
      </c>
      <c r="C1" s="8"/>
      <c r="D1" s="8"/>
      <c r="E1" s="8"/>
      <c r="F1" s="8"/>
    </row>
    <row r="2" spans="1:7" x14ac:dyDescent="0.25">
      <c r="A2" s="1" t="s">
        <v>64</v>
      </c>
      <c r="B2" s="8" t="s">
        <v>327</v>
      </c>
      <c r="C2" s="8"/>
      <c r="D2" s="8"/>
      <c r="E2" s="8"/>
      <c r="F2" s="8"/>
      <c r="G2" s="8"/>
    </row>
    <row r="3" spans="1:7" x14ac:dyDescent="0.25">
      <c r="A3" s="1" t="s">
        <v>1</v>
      </c>
      <c r="B3" s="8">
        <v>1234</v>
      </c>
      <c r="C3" s="8"/>
      <c r="D3" s="8"/>
      <c r="E3" s="8"/>
      <c r="F3" s="8"/>
      <c r="G3" s="8"/>
    </row>
    <row r="4" spans="1:7" x14ac:dyDescent="0.25">
      <c r="A4" s="8"/>
      <c r="B4" s="9"/>
    </row>
    <row r="5" spans="1:7" x14ac:dyDescent="0.25">
      <c r="A5" s="3" t="s">
        <v>22</v>
      </c>
      <c r="B5" s="9"/>
      <c r="E5" s="18">
        <v>0.28000000000000003</v>
      </c>
    </row>
    <row r="6" spans="1:7" x14ac:dyDescent="0.25">
      <c r="B6" s="2"/>
    </row>
    <row r="7" spans="1:7" x14ac:dyDescent="0.25">
      <c r="B7" s="1" t="s">
        <v>6</v>
      </c>
      <c r="C7" s="10" t="s">
        <v>17</v>
      </c>
      <c r="D7" s="5" t="s">
        <v>18</v>
      </c>
      <c r="E7" s="5" t="s">
        <v>21</v>
      </c>
      <c r="F7" s="5" t="s">
        <v>19</v>
      </c>
      <c r="G7" s="5" t="s">
        <v>20</v>
      </c>
    </row>
    <row r="8" spans="1:7" x14ac:dyDescent="0.25">
      <c r="B8" s="1" t="s">
        <v>140</v>
      </c>
      <c r="C8" s="9">
        <f>'ALN-END-Main Roof'!MATERIALTOTAL</f>
        <v>1056.8700002169608</v>
      </c>
      <c r="D8" s="7">
        <f>'ALN-END-Main Roof'!LABOURTOTAL</f>
        <v>456.43</v>
      </c>
      <c r="E8" s="17">
        <f t="shared" ref="E8:E39" si="0">MarkupPercentage</f>
        <v>0.28000000000000003</v>
      </c>
      <c r="F8" s="7">
        <f t="shared" ref="F8:F39" si="1">(C8+D8)*E8</f>
        <v>423.72400006074906</v>
      </c>
      <c r="G8" s="7">
        <f t="shared" ref="G8:G39" si="2">C8+D8+F8</f>
        <v>1937.02400027771</v>
      </c>
    </row>
    <row r="9" spans="1:7" x14ac:dyDescent="0.25">
      <c r="B9" s="1" t="s">
        <v>146</v>
      </c>
      <c r="C9" s="9">
        <f>'ALN-END-Porch (Lean to)'!MATERIALTOTAL</f>
        <v>183.64</v>
      </c>
      <c r="D9" s="7">
        <f>'ALN-END-Porch (Lean to)'!LABOURTOTAL</f>
        <v>239.45</v>
      </c>
      <c r="E9" s="17">
        <f t="shared" si="0"/>
        <v>0.28000000000000003</v>
      </c>
      <c r="F9" s="7">
        <f t="shared" si="1"/>
        <v>118.46520000000001</v>
      </c>
      <c r="G9" s="7">
        <f t="shared" si="2"/>
        <v>541.55520000000001</v>
      </c>
    </row>
    <row r="10" spans="1:7" x14ac:dyDescent="0.25">
      <c r="B10" s="1" t="s">
        <v>148</v>
      </c>
      <c r="C10" s="9">
        <f>'ALN-MID-Main Roof'!MATERIALTOTAL</f>
        <v>1000.3000002169608</v>
      </c>
      <c r="D10" s="7">
        <f>'ALN-MID-Main Roof'!LABOURTOTAL</f>
        <v>429.39</v>
      </c>
      <c r="E10" s="17">
        <f t="shared" si="0"/>
        <v>0.28000000000000003</v>
      </c>
      <c r="F10" s="7">
        <f t="shared" si="1"/>
        <v>400.31320006074912</v>
      </c>
      <c r="G10" s="7">
        <f t="shared" si="2"/>
        <v>1830.00320027771</v>
      </c>
    </row>
    <row r="11" spans="1:7" x14ac:dyDescent="0.25">
      <c r="B11" s="1" t="s">
        <v>149</v>
      </c>
      <c r="C11" s="9">
        <f>'ALN-MID-Porch (Lean to)'!MATERIALTOTAL</f>
        <v>183.64</v>
      </c>
      <c r="D11" s="7">
        <f>'ALN-MID-Porch (Lean to)'!LABOURTOTAL</f>
        <v>239.45</v>
      </c>
      <c r="E11" s="17">
        <f t="shared" si="0"/>
        <v>0.28000000000000003</v>
      </c>
      <c r="F11" s="7">
        <f t="shared" si="1"/>
        <v>118.46520000000001</v>
      </c>
      <c r="G11" s="7">
        <f t="shared" si="2"/>
        <v>541.55520000000001</v>
      </c>
    </row>
    <row r="12" spans="1:7" x14ac:dyDescent="0.25">
      <c r="B12" s="1" t="s">
        <v>152</v>
      </c>
      <c r="C12" s="9">
        <f>'CHE-Main Roof'!MATERIALTOTAL</f>
        <v>1961.6500008678436</v>
      </c>
      <c r="D12" s="7">
        <f>'CHE-Main Roof'!LABOURTOTAL</f>
        <v>878.32999999999993</v>
      </c>
      <c r="E12" s="17">
        <f t="shared" si="0"/>
        <v>0.28000000000000003</v>
      </c>
      <c r="F12" s="7">
        <f t="shared" si="1"/>
        <v>795.19440024299627</v>
      </c>
      <c r="G12" s="7">
        <f t="shared" si="2"/>
        <v>3635.1744011108399</v>
      </c>
    </row>
    <row r="13" spans="1:7" x14ac:dyDescent="0.25">
      <c r="B13" s="1" t="s">
        <v>157</v>
      </c>
      <c r="C13" s="9">
        <f>'CHE-Porch (Gable)'!MATERIALTOTAL</f>
        <v>183.93999999999997</v>
      </c>
      <c r="D13" s="7">
        <f>'CHE-Porch (Gable)'!LABOURTOTAL</f>
        <v>224.07</v>
      </c>
      <c r="E13" s="17">
        <f t="shared" si="0"/>
        <v>0.28000000000000003</v>
      </c>
      <c r="F13" s="7">
        <f t="shared" si="1"/>
        <v>114.2428</v>
      </c>
      <c r="G13" s="7">
        <f t="shared" si="2"/>
        <v>522.25279999999998</v>
      </c>
    </row>
    <row r="14" spans="1:7" x14ac:dyDescent="0.25">
      <c r="B14" s="1" t="s">
        <v>164</v>
      </c>
      <c r="C14" s="9">
        <f>'CLN-Main Roof'!MATERIALTOTAL</f>
        <v>2366.4300003463027</v>
      </c>
      <c r="D14" s="7">
        <f>'CLN-Main Roof'!LABOURTOTAL</f>
        <v>1133.635</v>
      </c>
      <c r="E14" s="17">
        <f t="shared" si="0"/>
        <v>0.28000000000000003</v>
      </c>
      <c r="F14" s="7">
        <f t="shared" si="1"/>
        <v>980.01820009696473</v>
      </c>
      <c r="G14" s="7">
        <f t="shared" si="2"/>
        <v>4480.0832004432668</v>
      </c>
    </row>
    <row r="15" spans="1:7" x14ac:dyDescent="0.25">
      <c r="B15" s="1" t="s">
        <v>165</v>
      </c>
      <c r="C15" s="9">
        <f>'CLN-Porch (Gable)'!MATERIALTOTAL</f>
        <v>183.93999999999997</v>
      </c>
      <c r="D15" s="7">
        <f>'CLN-Porch (Gable)'!LABOURTOTAL</f>
        <v>224.07</v>
      </c>
      <c r="E15" s="17">
        <f t="shared" si="0"/>
        <v>0.28000000000000003</v>
      </c>
      <c r="F15" s="7">
        <f t="shared" si="1"/>
        <v>114.2428</v>
      </c>
      <c r="G15" s="7">
        <f t="shared" si="2"/>
        <v>522.25279999999998</v>
      </c>
    </row>
    <row r="16" spans="1:7" x14ac:dyDescent="0.25">
      <c r="B16" s="1" t="s">
        <v>167</v>
      </c>
      <c r="C16" s="9">
        <f>'CLY-Main Roof'!MATERIALTOTAL</f>
        <v>1677.2399997830387</v>
      </c>
      <c r="D16" s="7">
        <f>'CLY-Main Roof'!LABOURTOTAL</f>
        <v>772.70999999999992</v>
      </c>
      <c r="E16" s="17">
        <f t="shared" si="0"/>
        <v>0.28000000000000003</v>
      </c>
      <c r="F16" s="7">
        <f t="shared" si="1"/>
        <v>685.98599993925086</v>
      </c>
      <c r="G16" s="7">
        <f t="shared" si="2"/>
        <v>3135.9359997222891</v>
      </c>
    </row>
    <row r="17" spans="1:7" x14ac:dyDescent="0.25">
      <c r="B17" s="1" t="s">
        <v>168</v>
      </c>
      <c r="C17" s="9">
        <f>'CLY-Porch (Gable)'!MATERIALTOTAL</f>
        <v>183.93999999999997</v>
      </c>
      <c r="D17" s="7">
        <f>'CLY-Porch (Gable)'!LABOURTOTAL</f>
        <v>228.3</v>
      </c>
      <c r="E17" s="17">
        <f t="shared" si="0"/>
        <v>0.28000000000000003</v>
      </c>
      <c r="F17" s="7">
        <f t="shared" si="1"/>
        <v>115.42720000000001</v>
      </c>
      <c r="G17" s="7">
        <f t="shared" si="2"/>
        <v>527.66719999999998</v>
      </c>
    </row>
    <row r="18" spans="1:7" x14ac:dyDescent="0.25">
      <c r="B18" s="1" t="s">
        <v>170</v>
      </c>
      <c r="C18" s="9">
        <f>'HNB-END-Main Roof'!MATERIALTOTAL</f>
        <v>1217.0799999999997</v>
      </c>
      <c r="D18" s="7">
        <f>'HNB-END-Main Roof'!LABOURTOTAL</f>
        <v>533.53</v>
      </c>
      <c r="E18" s="17">
        <f t="shared" si="0"/>
        <v>0.28000000000000003</v>
      </c>
      <c r="F18" s="7">
        <f t="shared" si="1"/>
        <v>490.17079999999993</v>
      </c>
      <c r="G18" s="7">
        <f t="shared" si="2"/>
        <v>2240.7807999999995</v>
      </c>
    </row>
    <row r="19" spans="1:7" x14ac:dyDescent="0.25">
      <c r="B19" s="1" t="s">
        <v>171</v>
      </c>
      <c r="C19" s="9">
        <f>'HNB-END-Porch (Lean to)'!MATERIALTOTAL</f>
        <v>229.26999999999998</v>
      </c>
      <c r="D19" s="7">
        <f>'HNB-END-Porch (Lean to)'!LABOURTOTAL</f>
        <v>239.94</v>
      </c>
      <c r="E19" s="17">
        <f t="shared" si="0"/>
        <v>0.28000000000000003</v>
      </c>
      <c r="F19" s="7">
        <f t="shared" si="1"/>
        <v>131.37880000000001</v>
      </c>
      <c r="G19" s="7">
        <f t="shared" si="2"/>
        <v>600.58879999999999</v>
      </c>
    </row>
    <row r="20" spans="1:7" x14ac:dyDescent="0.25">
      <c r="B20" s="1" t="s">
        <v>173</v>
      </c>
      <c r="C20" s="9">
        <f>'HNB-MID-Main Roof'!MATERIALTOTAL</f>
        <v>1112.8000002169608</v>
      </c>
      <c r="D20" s="7">
        <f>'HNB-MID-Main Roof'!LABOURTOTAL</f>
        <v>496.91999999999996</v>
      </c>
      <c r="E20" s="17">
        <f t="shared" si="0"/>
        <v>0.28000000000000003</v>
      </c>
      <c r="F20" s="7">
        <f t="shared" si="1"/>
        <v>450.72160006074904</v>
      </c>
      <c r="G20" s="7">
        <f t="shared" si="2"/>
        <v>2060.4416002777098</v>
      </c>
    </row>
    <row r="21" spans="1:7" x14ac:dyDescent="0.25">
      <c r="B21" s="1" t="s">
        <v>174</v>
      </c>
      <c r="C21" s="9">
        <f>'HNB-MID-Porch (Lean to)'!MATERIALTOTAL</f>
        <v>229.26999999999998</v>
      </c>
      <c r="D21" s="7">
        <f>'HNB-MID-Porch (Lean to)'!LABOURTOTAL</f>
        <v>239.94</v>
      </c>
      <c r="E21" s="17">
        <f t="shared" si="0"/>
        <v>0.28000000000000003</v>
      </c>
      <c r="F21" s="7">
        <f t="shared" si="1"/>
        <v>131.37880000000001</v>
      </c>
      <c r="G21" s="7">
        <f t="shared" si="2"/>
        <v>600.58879999999999</v>
      </c>
    </row>
    <row r="22" spans="1:7" x14ac:dyDescent="0.25">
      <c r="B22" s="1" t="s">
        <v>176</v>
      </c>
      <c r="C22" s="9">
        <f>'HNB-SMI-Main Roof'!MATERIALTOTAL</f>
        <v>2342.6700004339218</v>
      </c>
      <c r="D22" s="7">
        <f>'HNB-SMI-Main Roof'!LABOURTOTAL</f>
        <v>1067.06</v>
      </c>
      <c r="E22" s="17">
        <f t="shared" si="0"/>
        <v>0.28000000000000003</v>
      </c>
      <c r="F22" s="7">
        <f t="shared" si="1"/>
        <v>954.72440012149821</v>
      </c>
      <c r="G22" s="7">
        <f t="shared" si="2"/>
        <v>4364.4544005554199</v>
      </c>
    </row>
    <row r="23" spans="1:7" x14ac:dyDescent="0.25">
      <c r="B23" s="1" t="s">
        <v>177</v>
      </c>
      <c r="C23" s="9">
        <f>'HNB-SMI-Porch (Lean to)'!MATERIALTOTAL</f>
        <v>229.26999999999998</v>
      </c>
      <c r="D23" s="7">
        <f>'HNB-SMI-Porch (Lean to)'!LABOURTOTAL</f>
        <v>239.94</v>
      </c>
      <c r="E23" s="17">
        <f t="shared" si="0"/>
        <v>0.28000000000000003</v>
      </c>
      <c r="F23" s="7">
        <f t="shared" si="1"/>
        <v>131.37880000000001</v>
      </c>
      <c r="G23" s="7">
        <f t="shared" si="2"/>
        <v>600.58879999999999</v>
      </c>
    </row>
    <row r="24" spans="1:7" x14ac:dyDescent="0.25">
      <c r="B24" s="1" t="s">
        <v>178</v>
      </c>
      <c r="C24" s="9">
        <f>'HNB-SMI-Porch (Lean to)(1)'!MATERIALTOTAL</f>
        <v>229.26999999999998</v>
      </c>
      <c r="D24" s="7">
        <f>'HNB-SMI-Porch (Lean to)(1)'!LABOURTOTAL</f>
        <v>239.94</v>
      </c>
      <c r="E24" s="17">
        <f t="shared" si="0"/>
        <v>0.28000000000000003</v>
      </c>
      <c r="F24" s="7">
        <f t="shared" si="1"/>
        <v>131.37880000000001</v>
      </c>
      <c r="G24" s="7">
        <f t="shared" si="2"/>
        <v>600.58879999999999</v>
      </c>
    </row>
    <row r="25" spans="1:7" x14ac:dyDescent="0.25">
      <c r="A25" s="2">
        <v>20</v>
      </c>
      <c r="B25" s="1" t="s">
        <v>181</v>
      </c>
      <c r="C25" s="9">
        <f>'HTF-Main Roof'!MATERIALTOTAL</f>
        <v>1829.6900014770031</v>
      </c>
      <c r="D25" s="7">
        <f>'HTF-Main Roof'!LABOURTOTAL</f>
        <v>874.84</v>
      </c>
      <c r="E25" s="17">
        <f t="shared" si="0"/>
        <v>0.28000000000000003</v>
      </c>
      <c r="F25" s="7">
        <f t="shared" si="1"/>
        <v>757.26840041356093</v>
      </c>
      <c r="G25" s="7">
        <f t="shared" si="2"/>
        <v>3461.798401890564</v>
      </c>
    </row>
    <row r="26" spans="1:7" x14ac:dyDescent="0.25">
      <c r="B26" s="1" t="s">
        <v>182</v>
      </c>
      <c r="C26" s="9">
        <f>'HTF-Porch (Lean to)'!MATERIALTOTAL</f>
        <v>110.6099998372793</v>
      </c>
      <c r="D26" s="7">
        <f>'HTF-Porch (Lean to)'!LABOURTOTAL</f>
        <v>213.11</v>
      </c>
      <c r="E26" s="17">
        <f t="shared" si="0"/>
        <v>0.28000000000000003</v>
      </c>
      <c r="F26" s="7">
        <f t="shared" si="1"/>
        <v>90.64159995443822</v>
      </c>
      <c r="G26" s="7">
        <f t="shared" si="2"/>
        <v>414.36159979171754</v>
      </c>
    </row>
    <row r="27" spans="1:7" x14ac:dyDescent="0.25">
      <c r="B27" s="1" t="s">
        <v>184</v>
      </c>
      <c r="C27" s="9">
        <f>'KND-Main Roof'!MATERIALTOTAL</f>
        <v>2311.3499983477595</v>
      </c>
      <c r="D27" s="7">
        <f>'KND-Main Roof'!LABOURTOTAL</f>
        <v>1088.69</v>
      </c>
      <c r="E27" s="17">
        <f t="shared" si="0"/>
        <v>0.28000000000000003</v>
      </c>
      <c r="F27" s="7">
        <f t="shared" si="1"/>
        <v>952.01119953737282</v>
      </c>
      <c r="G27" s="7">
        <f t="shared" si="2"/>
        <v>4352.0511978851328</v>
      </c>
    </row>
    <row r="28" spans="1:7" x14ac:dyDescent="0.25">
      <c r="B28" s="1" t="s">
        <v>185</v>
      </c>
      <c r="C28" s="9">
        <f>'KND-Porch (Lean to)'!MATERIALTOTAL</f>
        <v>103.63999983727932</v>
      </c>
      <c r="D28" s="7">
        <f>'KND-Porch (Lean to)'!LABOURTOTAL</f>
        <v>207.63</v>
      </c>
      <c r="E28" s="17">
        <f t="shared" si="0"/>
        <v>0.28000000000000003</v>
      </c>
      <c r="F28" s="7">
        <f t="shared" si="1"/>
        <v>87.155599954438216</v>
      </c>
      <c r="G28" s="7">
        <f t="shared" si="2"/>
        <v>398.42559979171756</v>
      </c>
    </row>
    <row r="29" spans="1:7" x14ac:dyDescent="0.25">
      <c r="B29" s="1" t="s">
        <v>187</v>
      </c>
      <c r="C29" s="9">
        <f>'MSL-END-Main Roof'!MATERIALTOTAL</f>
        <v>1112.81</v>
      </c>
      <c r="D29" s="7">
        <f>'MSL-END-Main Roof'!LABOURTOTAL</f>
        <v>512.77500000000009</v>
      </c>
      <c r="E29" s="17">
        <f t="shared" si="0"/>
        <v>0.28000000000000003</v>
      </c>
      <c r="F29" s="7">
        <f t="shared" si="1"/>
        <v>455.16380000000004</v>
      </c>
      <c r="G29" s="7">
        <f t="shared" si="2"/>
        <v>2080.7488000000003</v>
      </c>
    </row>
    <row r="30" spans="1:7" x14ac:dyDescent="0.25">
      <c r="B30" s="1" t="s">
        <v>188</v>
      </c>
      <c r="C30" s="9">
        <f>'MSL-END-Porch (Lean to)'!MATERIALTOTAL</f>
        <v>121.96999983727932</v>
      </c>
      <c r="D30" s="7">
        <f>'MSL-END-Porch (Lean to)'!LABOURTOTAL</f>
        <v>196.6</v>
      </c>
      <c r="E30" s="17">
        <f t="shared" si="0"/>
        <v>0.28000000000000003</v>
      </c>
      <c r="F30" s="7">
        <f t="shared" si="1"/>
        <v>89.199599954438213</v>
      </c>
      <c r="G30" s="7">
        <f t="shared" si="2"/>
        <v>407.7695997917175</v>
      </c>
    </row>
    <row r="31" spans="1:7" x14ac:dyDescent="0.25">
      <c r="B31" s="1" t="s">
        <v>190</v>
      </c>
      <c r="C31" s="9">
        <f>'MSL-MID-Main Roof'!MATERIALTOTAL</f>
        <v>1007.8699999999999</v>
      </c>
      <c r="D31" s="7">
        <f>'MSL-MID-Main Roof'!LABOURTOTAL</f>
        <v>473.22</v>
      </c>
      <c r="E31" s="17">
        <f t="shared" si="0"/>
        <v>0.28000000000000003</v>
      </c>
      <c r="F31" s="7">
        <f t="shared" si="1"/>
        <v>414.70519999999999</v>
      </c>
      <c r="G31" s="7">
        <f t="shared" si="2"/>
        <v>1895.7952</v>
      </c>
    </row>
    <row r="32" spans="1:7" x14ac:dyDescent="0.25">
      <c r="B32" s="1" t="s">
        <v>191</v>
      </c>
      <c r="C32" s="9">
        <f>'MSL-MID-Porch (Lean to)'!MATERIALTOTAL</f>
        <v>121.96999983727932</v>
      </c>
      <c r="D32" s="7">
        <f>'MSL-MID-Porch (Lean to)'!LABOURTOTAL</f>
        <v>196.6</v>
      </c>
      <c r="E32" s="17">
        <f t="shared" si="0"/>
        <v>0.28000000000000003</v>
      </c>
      <c r="F32" s="7">
        <f t="shared" si="1"/>
        <v>89.199599954438213</v>
      </c>
      <c r="G32" s="7">
        <f t="shared" si="2"/>
        <v>407.7695997917175</v>
      </c>
    </row>
    <row r="33" spans="2:7" x14ac:dyDescent="0.25">
      <c r="B33" s="1" t="s">
        <v>193</v>
      </c>
      <c r="C33" s="9">
        <f>'MSL-SMI-Main Roof'!MATERIALTOTAL</f>
        <v>2124.7600004339224</v>
      </c>
      <c r="D33" s="7">
        <f>'MSL-SMI-Main Roof'!LABOURTOTAL</f>
        <v>1025.5500000000002</v>
      </c>
      <c r="E33" s="17">
        <f t="shared" si="0"/>
        <v>0.28000000000000003</v>
      </c>
      <c r="F33" s="7">
        <f t="shared" si="1"/>
        <v>882.08680012149841</v>
      </c>
      <c r="G33" s="7">
        <f t="shared" si="2"/>
        <v>4032.3968005554211</v>
      </c>
    </row>
    <row r="34" spans="2:7" x14ac:dyDescent="0.25">
      <c r="B34" s="1" t="s">
        <v>194</v>
      </c>
      <c r="C34" s="9">
        <f>'MSL-SMI-Porch (Lean to)'!MATERIALTOTAL</f>
        <v>121.96999983727932</v>
      </c>
      <c r="D34" s="7">
        <f>'MSL-SMI-Porch (Lean to)'!LABOURTOTAL</f>
        <v>196.6</v>
      </c>
      <c r="E34" s="17">
        <f t="shared" si="0"/>
        <v>0.28000000000000003</v>
      </c>
      <c r="F34" s="7">
        <f t="shared" si="1"/>
        <v>89.199599954438213</v>
      </c>
      <c r="G34" s="7">
        <f t="shared" si="2"/>
        <v>407.7695997917175</v>
      </c>
    </row>
    <row r="35" spans="2:7" x14ac:dyDescent="0.25">
      <c r="B35" s="1" t="s">
        <v>195</v>
      </c>
      <c r="C35" s="9">
        <f>'MSL-SMI-Porch (Lean to)(1)'!MATERIALTOTAL</f>
        <v>121.96999983727932</v>
      </c>
      <c r="D35" s="7">
        <f>'MSL-SMI-Porch (Lean to)(1)'!LABOURTOTAL</f>
        <v>196.6</v>
      </c>
      <c r="E35" s="17">
        <f t="shared" si="0"/>
        <v>0.28000000000000003</v>
      </c>
      <c r="F35" s="7">
        <f t="shared" si="1"/>
        <v>89.199599954438213</v>
      </c>
      <c r="G35" s="7">
        <f t="shared" si="2"/>
        <v>407.7695997917175</v>
      </c>
    </row>
    <row r="36" spans="2:7" x14ac:dyDescent="0.25">
      <c r="B36" s="1" t="s">
        <v>197</v>
      </c>
      <c r="C36" s="9">
        <f>'ROS-Main Roof'!MATERIALTOTAL</f>
        <v>2198.2199991321559</v>
      </c>
      <c r="D36" s="7">
        <f>'ROS-Main Roof'!LABOURTOTAL</f>
        <v>1028.8</v>
      </c>
      <c r="E36" s="17">
        <f t="shared" si="0"/>
        <v>0.28000000000000003</v>
      </c>
      <c r="F36" s="7">
        <f t="shared" si="1"/>
        <v>903.56559975700372</v>
      </c>
      <c r="G36" s="7">
        <f t="shared" si="2"/>
        <v>4130.5855988891599</v>
      </c>
    </row>
    <row r="37" spans="2:7" x14ac:dyDescent="0.25">
      <c r="B37" s="1" t="s">
        <v>198</v>
      </c>
      <c r="C37" s="9">
        <f>'ROS-Porch (Gable)'!MATERIALTOTAL</f>
        <v>183.93999999999997</v>
      </c>
      <c r="D37" s="7">
        <f>'ROS-Porch (Gable)'!LABOURTOTAL</f>
        <v>228.3</v>
      </c>
      <c r="E37" s="17">
        <f t="shared" si="0"/>
        <v>0.28000000000000003</v>
      </c>
      <c r="F37" s="7">
        <f t="shared" si="1"/>
        <v>115.42720000000001</v>
      </c>
      <c r="G37" s="7">
        <f t="shared" si="2"/>
        <v>527.66719999999998</v>
      </c>
    </row>
    <row r="38" spans="2:7" x14ac:dyDescent="0.25">
      <c r="B38" s="1" t="s">
        <v>200</v>
      </c>
      <c r="C38" s="9">
        <f>'ROS-Lower Level'!MATERIALTOTAL</f>
        <v>253.95999978303911</v>
      </c>
      <c r="D38" s="7">
        <f>'ROS-Lower Level'!LABOURTOTAL</f>
        <v>143.08500000000001</v>
      </c>
      <c r="E38" s="17">
        <f t="shared" si="0"/>
        <v>0.28000000000000003</v>
      </c>
      <c r="F38" s="7">
        <f t="shared" si="1"/>
        <v>111.17259993925096</v>
      </c>
      <c r="G38" s="7">
        <f t="shared" si="2"/>
        <v>508.21759972229006</v>
      </c>
    </row>
    <row r="39" spans="2:7" x14ac:dyDescent="0.25">
      <c r="B39" s="1" t="s">
        <v>202</v>
      </c>
      <c r="C39" s="9">
        <f>'RUF-DET-Main Roof'!MATERIALTOTAL</f>
        <v>1532.2999995660782</v>
      </c>
      <c r="D39" s="7">
        <f>'RUF-DET-Main Roof'!LABOURTOTAL</f>
        <v>692.73</v>
      </c>
      <c r="E39" s="17">
        <f t="shared" si="0"/>
        <v>0.28000000000000003</v>
      </c>
      <c r="F39" s="7">
        <f t="shared" si="1"/>
        <v>623.0083998785019</v>
      </c>
      <c r="G39" s="7">
        <f t="shared" si="2"/>
        <v>2848.0383994445801</v>
      </c>
    </row>
    <row r="40" spans="2:7" x14ac:dyDescent="0.25">
      <c r="B40" s="1" t="s">
        <v>203</v>
      </c>
      <c r="C40" s="9">
        <f>'RUF-DET-Lower Level'!MATERIALTOTAL</f>
        <v>366.6799999728799</v>
      </c>
      <c r="D40" s="7">
        <f>'RUF-DET-Lower Level'!LABOURTOTAL</f>
        <v>328.26</v>
      </c>
      <c r="E40" s="17">
        <f t="shared" ref="E40:E59" si="3">MarkupPercentage</f>
        <v>0.28000000000000003</v>
      </c>
      <c r="F40" s="7">
        <f t="shared" ref="F40:F59" si="4">(C40+D40)*E40</f>
        <v>194.58319999240638</v>
      </c>
      <c r="G40" s="7">
        <f t="shared" ref="G40:G59" si="5">C40+D40+F40</f>
        <v>889.52319996528627</v>
      </c>
    </row>
    <row r="41" spans="2:7" x14ac:dyDescent="0.25">
      <c r="B41" s="1" t="s">
        <v>205</v>
      </c>
      <c r="C41" s="9">
        <f>'RUF-SMI-Main Roof'!MATERIALTOTAL</f>
        <v>2922.43</v>
      </c>
      <c r="D41" s="7">
        <f>'RUF-SMI-Main Roof'!LABOURTOTAL</f>
        <v>1349.79</v>
      </c>
      <c r="E41" s="17">
        <f t="shared" si="3"/>
        <v>0.28000000000000003</v>
      </c>
      <c r="F41" s="7">
        <f t="shared" si="4"/>
        <v>1196.2215999999999</v>
      </c>
      <c r="G41" s="7">
        <f t="shared" si="5"/>
        <v>5468.4415999999992</v>
      </c>
    </row>
    <row r="42" spans="2:7" x14ac:dyDescent="0.25">
      <c r="B42" s="1" t="s">
        <v>206</v>
      </c>
      <c r="C42" s="9">
        <f>'RUF-SMI-Lower Level'!MATERIALTOTAL</f>
        <v>366.6799999728799</v>
      </c>
      <c r="D42" s="7">
        <f>'RUF-SMI-Lower Level'!LABOURTOTAL</f>
        <v>328.26</v>
      </c>
      <c r="E42" s="17">
        <f t="shared" si="3"/>
        <v>0.28000000000000003</v>
      </c>
      <c r="F42" s="7">
        <f t="shared" si="4"/>
        <v>194.58319999240638</v>
      </c>
      <c r="G42" s="7">
        <f t="shared" si="5"/>
        <v>889.52319996528627</v>
      </c>
    </row>
    <row r="43" spans="2:7" x14ac:dyDescent="0.25">
      <c r="B43" s="1" t="s">
        <v>207</v>
      </c>
      <c r="C43" s="9">
        <f>'RUF-SMI-Lower Level(1)'!MATERIALTOTAL</f>
        <v>366.6799999728799</v>
      </c>
      <c r="D43" s="7">
        <f>'RUF-SMI-Lower Level(1)'!LABOURTOTAL</f>
        <v>328.26</v>
      </c>
      <c r="E43" s="17">
        <f t="shared" si="3"/>
        <v>0.28000000000000003</v>
      </c>
      <c r="F43" s="7">
        <f t="shared" si="4"/>
        <v>194.58319999240638</v>
      </c>
      <c r="G43" s="7">
        <f t="shared" si="5"/>
        <v>889.52319996528627</v>
      </c>
    </row>
    <row r="44" spans="2:7" x14ac:dyDescent="0.25">
      <c r="B44" s="1" t="s">
        <v>210</v>
      </c>
      <c r="C44" s="9">
        <f>'SOU-END-Main Roof'!MATERIALTOTAL</f>
        <v>1514.0300004339219</v>
      </c>
      <c r="D44" s="7">
        <f>'SOU-END-Main Roof'!LABOURTOTAL</f>
        <v>852.54000000000008</v>
      </c>
      <c r="E44" s="17">
        <f t="shared" si="3"/>
        <v>0.28000000000000003</v>
      </c>
      <c r="F44" s="7">
        <f t="shared" si="4"/>
        <v>662.63960012149823</v>
      </c>
      <c r="G44" s="7">
        <f t="shared" si="5"/>
        <v>3029.2096005554204</v>
      </c>
    </row>
    <row r="45" spans="2:7" x14ac:dyDescent="0.25">
      <c r="B45" s="1" t="s">
        <v>211</v>
      </c>
      <c r="C45" s="9">
        <f>'SOU-END-Porch (Lean to)'!MATERIALTOTAL</f>
        <v>180.5600002169609</v>
      </c>
      <c r="D45" s="7">
        <f>'SOU-END-Porch (Lean to)'!LABOURTOTAL</f>
        <v>216.89</v>
      </c>
      <c r="E45" s="17">
        <f t="shared" si="3"/>
        <v>0.28000000000000003</v>
      </c>
      <c r="F45" s="7">
        <f t="shared" si="4"/>
        <v>111.28600006074906</v>
      </c>
      <c r="G45" s="7">
        <f t="shared" si="5"/>
        <v>508.73600027770999</v>
      </c>
    </row>
    <row r="46" spans="2:7" x14ac:dyDescent="0.25">
      <c r="B46" s="1" t="s">
        <v>213</v>
      </c>
      <c r="C46" s="9">
        <f>'SOU-MID-Main Roof'!MATERIALTOTAL</f>
        <v>1440.5500005215406</v>
      </c>
      <c r="D46" s="7">
        <f>'SOU-MID-Main Roof'!LABOURTOTAL</f>
        <v>809.08</v>
      </c>
      <c r="E46" s="17">
        <f t="shared" si="3"/>
        <v>0.28000000000000003</v>
      </c>
      <c r="F46" s="7">
        <f t="shared" si="4"/>
        <v>629.89640014603151</v>
      </c>
      <c r="G46" s="7">
        <f t="shared" si="5"/>
        <v>2879.5264006675725</v>
      </c>
    </row>
    <row r="47" spans="2:7" x14ac:dyDescent="0.25">
      <c r="B47" s="1" t="s">
        <v>214</v>
      </c>
      <c r="C47" s="9">
        <f>'SOU-MID-Porch (Lean to)'!MATERIALTOTAL</f>
        <v>180.5600002169609</v>
      </c>
      <c r="D47" s="7">
        <f>'SOU-MID-Porch (Lean to)'!LABOURTOTAL</f>
        <v>216.89</v>
      </c>
      <c r="E47" s="17">
        <f t="shared" si="3"/>
        <v>0.28000000000000003</v>
      </c>
      <c r="F47" s="7">
        <f t="shared" si="4"/>
        <v>111.28600006074906</v>
      </c>
      <c r="G47" s="7">
        <f t="shared" si="5"/>
        <v>508.73600027770999</v>
      </c>
    </row>
    <row r="48" spans="2:7" x14ac:dyDescent="0.25">
      <c r="B48" s="1" t="s">
        <v>217</v>
      </c>
      <c r="C48" s="9">
        <f>'SOU-SMI-Main Roof'!MATERIALTOTAL</f>
        <v>2902.419997913838</v>
      </c>
      <c r="D48" s="7">
        <f>'SOU-SMI-Main Roof'!LABOURTOTAL</f>
        <v>1693.89</v>
      </c>
      <c r="E48" s="17">
        <f t="shared" si="3"/>
        <v>0.28000000000000003</v>
      </c>
      <c r="F48" s="7">
        <f t="shared" si="4"/>
        <v>1286.9667994158747</v>
      </c>
      <c r="G48" s="7">
        <f t="shared" si="5"/>
        <v>5883.2767973297123</v>
      </c>
    </row>
    <row r="49" spans="2:7" x14ac:dyDescent="0.25">
      <c r="B49" s="1" t="s">
        <v>218</v>
      </c>
      <c r="C49" s="9">
        <f>'SOU-SMI-Porch (Lean to)'!MATERIALTOTAL</f>
        <v>296.33</v>
      </c>
      <c r="D49" s="7">
        <f>'SOU-SMI-Porch (Lean to)'!LABOURTOTAL</f>
        <v>274.63</v>
      </c>
      <c r="E49" s="17">
        <f t="shared" si="3"/>
        <v>0.28000000000000003</v>
      </c>
      <c r="F49" s="7">
        <f t="shared" si="4"/>
        <v>159.86880000000002</v>
      </c>
      <c r="G49" s="7">
        <f t="shared" si="5"/>
        <v>730.8288</v>
      </c>
    </row>
    <row r="50" spans="2:7" x14ac:dyDescent="0.25">
      <c r="B50" s="1" t="s">
        <v>220</v>
      </c>
      <c r="C50" s="9">
        <f>'TIV-Main Roof'!MATERIALTOTAL</f>
        <v>2301.9700004339225</v>
      </c>
      <c r="D50" s="7">
        <f>'TIV-Main Roof'!LABOURTOTAL</f>
        <v>1077.31</v>
      </c>
      <c r="E50" s="17">
        <f t="shared" si="3"/>
        <v>0.28000000000000003</v>
      </c>
      <c r="F50" s="7">
        <f t="shared" si="4"/>
        <v>946.19840012149837</v>
      </c>
      <c r="G50" s="7">
        <f t="shared" si="5"/>
        <v>4325.4784005554211</v>
      </c>
    </row>
    <row r="51" spans="2:7" x14ac:dyDescent="0.25">
      <c r="B51" s="1" t="s">
        <v>221</v>
      </c>
      <c r="C51" s="9">
        <f>'TIV-Porch (Gable)'!MATERIALTOTAL</f>
        <v>183.93999999999997</v>
      </c>
      <c r="D51" s="7">
        <f>'TIV-Porch (Gable)'!LABOURTOTAL</f>
        <v>228.3</v>
      </c>
      <c r="E51" s="17">
        <f t="shared" si="3"/>
        <v>0.28000000000000003</v>
      </c>
      <c r="F51" s="7">
        <f t="shared" si="4"/>
        <v>115.42720000000001</v>
      </c>
      <c r="G51" s="7">
        <f t="shared" si="5"/>
        <v>527.66719999999998</v>
      </c>
    </row>
    <row r="52" spans="2:7" x14ac:dyDescent="0.25">
      <c r="B52" s="1" t="s">
        <v>224</v>
      </c>
      <c r="C52" s="9">
        <f>'WIN-Main Roof'!MATERIALTOTAL</f>
        <v>2548.5800004339221</v>
      </c>
      <c r="D52" s="7">
        <f>'WIN-Main Roof'!LABOURTOTAL</f>
        <v>1220.9349999999999</v>
      </c>
      <c r="E52" s="17">
        <f t="shared" si="3"/>
        <v>0.28000000000000003</v>
      </c>
      <c r="F52" s="7">
        <f t="shared" si="4"/>
        <v>1055.4642001214984</v>
      </c>
      <c r="G52" s="7">
        <f t="shared" si="5"/>
        <v>4824.9792005554209</v>
      </c>
    </row>
    <row r="53" spans="2:7" x14ac:dyDescent="0.25">
      <c r="B53" s="1" t="s">
        <v>225</v>
      </c>
      <c r="C53" s="9">
        <f>'WIN-Porch (Gable)'!MATERIALTOTAL</f>
        <v>183.93999999999997</v>
      </c>
      <c r="D53" s="7">
        <f>'WIN-Porch (Gable)'!LABOURTOTAL</f>
        <v>228.3</v>
      </c>
      <c r="E53" s="17">
        <f t="shared" si="3"/>
        <v>0.28000000000000003</v>
      </c>
      <c r="F53" s="7">
        <f t="shared" si="4"/>
        <v>115.42720000000001</v>
      </c>
      <c r="G53" s="7">
        <f t="shared" si="5"/>
        <v>527.66719999999998</v>
      </c>
    </row>
    <row r="54" spans="2:7" x14ac:dyDescent="0.25">
      <c r="B54" s="1" t="s">
        <v>228</v>
      </c>
      <c r="C54" s="9">
        <f>'Z-GDBL6.7-Garage'!MATERIALTOTAL</f>
        <v>1300.52</v>
      </c>
      <c r="D54" s="7">
        <f>'Z-GDBL6.7-Garage'!LABOURTOTAL</f>
        <v>593.5100000000001</v>
      </c>
      <c r="E54" s="17">
        <f t="shared" si="3"/>
        <v>0.28000000000000003</v>
      </c>
      <c r="F54" s="7">
        <f t="shared" si="4"/>
        <v>530.3284000000001</v>
      </c>
      <c r="G54" s="7">
        <f t="shared" si="5"/>
        <v>2424.3584000000001</v>
      </c>
    </row>
    <row r="55" spans="2:7" x14ac:dyDescent="0.25">
      <c r="B55" s="1" t="s">
        <v>234</v>
      </c>
      <c r="C55" s="9">
        <f>'Z-GDBLHIP-Garage'!MATERIALTOTAL</f>
        <v>1511.3399985229967</v>
      </c>
      <c r="D55" s="7">
        <f>'Z-GDBLHIP-Garage'!LABOURTOTAL</f>
        <v>817.94</v>
      </c>
      <c r="E55" s="17">
        <f t="shared" si="3"/>
        <v>0.28000000000000003</v>
      </c>
      <c r="F55" s="7">
        <f t="shared" si="4"/>
        <v>652.19839958643911</v>
      </c>
      <c r="G55" s="7">
        <f t="shared" si="5"/>
        <v>2981.4783981094361</v>
      </c>
    </row>
    <row r="56" spans="2:7" x14ac:dyDescent="0.25">
      <c r="B56" s="1" t="s">
        <v>236</v>
      </c>
      <c r="C56" s="9">
        <f>'Z-GDBLPYR-Garage'!MATERIALTOTAL</f>
        <v>1670.669998347759</v>
      </c>
      <c r="D56" s="7">
        <f>'Z-GDBLPYR-Garage'!LABOURTOTAL</f>
        <v>941.1</v>
      </c>
      <c r="E56" s="17">
        <f t="shared" si="3"/>
        <v>0.28000000000000003</v>
      </c>
      <c r="F56" s="7">
        <f t="shared" si="4"/>
        <v>731.2955995373726</v>
      </c>
      <c r="G56" s="7">
        <f t="shared" si="5"/>
        <v>3343.0655978851319</v>
      </c>
    </row>
    <row r="57" spans="2:7" x14ac:dyDescent="0.25">
      <c r="B57" s="1" t="s">
        <v>238</v>
      </c>
      <c r="C57" s="9">
        <f>'Z-GSNG3.5-Garage'!MATERIALTOTAL</f>
        <v>740.96999978303927</v>
      </c>
      <c r="D57" s="7">
        <f>'Z-GSNG3.5-Garage'!LABOURTOTAL</f>
        <v>329.93</v>
      </c>
      <c r="E57" s="17">
        <f t="shared" si="3"/>
        <v>0.28000000000000003</v>
      </c>
      <c r="F57" s="7">
        <f t="shared" si="4"/>
        <v>299.85199993925102</v>
      </c>
      <c r="G57" s="7">
        <f t="shared" si="5"/>
        <v>1370.7519997222903</v>
      </c>
    </row>
    <row r="58" spans="2:7" x14ac:dyDescent="0.25">
      <c r="B58" s="1" t="s">
        <v>240</v>
      </c>
      <c r="C58" s="9">
        <f>'Z-GTWN6.7-Garage'!MATERIALTOTAL</f>
        <v>1345.52</v>
      </c>
      <c r="D58" s="7">
        <f>'Z-GTWN6.7-Garage'!LABOURTOTAL</f>
        <v>605.99000000000012</v>
      </c>
      <c r="E58" s="17">
        <f t="shared" si="3"/>
        <v>0.28000000000000003</v>
      </c>
      <c r="F58" s="7">
        <f t="shared" si="4"/>
        <v>546.42280000000017</v>
      </c>
      <c r="G58" s="7">
        <f t="shared" si="5"/>
        <v>2497.9328000000005</v>
      </c>
    </row>
    <row r="59" spans="2:7" x14ac:dyDescent="0.25">
      <c r="B59" s="1" t="s">
        <v>242</v>
      </c>
      <c r="C59" s="9">
        <f>'Z-GTWNPYR-Garage'!MATERIALTOTAL</f>
        <v>1715.669998347759</v>
      </c>
      <c r="D59" s="7">
        <f>'Z-GTWNPYR-Garage'!LABOURTOTAL</f>
        <v>953.58</v>
      </c>
      <c r="E59" s="17">
        <f t="shared" si="3"/>
        <v>0.28000000000000003</v>
      </c>
      <c r="F59" s="7">
        <f t="shared" si="4"/>
        <v>747.38999953737266</v>
      </c>
      <c r="G59" s="7">
        <f t="shared" si="5"/>
        <v>3416.6399978851318</v>
      </c>
    </row>
    <row r="60" spans="2:7" x14ac:dyDescent="0.25">
      <c r="B60" s="1"/>
      <c r="C60" s="9"/>
      <c r="D60" s="7"/>
      <c r="E60" s="17"/>
      <c r="F60" s="7"/>
      <c r="G60" s="7"/>
    </row>
    <row r="61" spans="2:7" x14ac:dyDescent="0.25">
      <c r="E61" s="15"/>
      <c r="G61" s="13"/>
    </row>
    <row r="62" spans="2:7" ht="15.75" thickBot="1" x14ac:dyDescent="0.3">
      <c r="B62" s="11"/>
      <c r="D62" s="12"/>
      <c r="G62" s="19">
        <f>SUM(G8:G61)</f>
        <v>102940.04479351922</v>
      </c>
    </row>
    <row r="63" spans="2:7" ht="15.75" thickTop="1" x14ac:dyDescent="0.25"/>
    <row r="67" spans="1:4" x14ac:dyDescent="0.25">
      <c r="C67" s="13"/>
    </row>
    <row r="68" spans="1:4" x14ac:dyDescent="0.25">
      <c r="C68" s="13"/>
    </row>
    <row r="69" spans="1:4" x14ac:dyDescent="0.25">
      <c r="C69" s="13"/>
    </row>
    <row r="70" spans="1:4" x14ac:dyDescent="0.25">
      <c r="A70" s="14"/>
      <c r="C70" s="13"/>
    </row>
    <row r="71" spans="1:4" x14ac:dyDescent="0.25">
      <c r="B71" s="11"/>
      <c r="D71" s="12"/>
    </row>
    <row r="76" spans="1:4" x14ac:dyDescent="0.25">
      <c r="C76" s="13"/>
    </row>
    <row r="77" spans="1:4" x14ac:dyDescent="0.25">
      <c r="C77" s="13"/>
    </row>
    <row r="78" spans="1:4" x14ac:dyDescent="0.25">
      <c r="C78" s="13"/>
    </row>
    <row r="79" spans="1:4" x14ac:dyDescent="0.25">
      <c r="A79" s="14"/>
      <c r="C79" s="13"/>
    </row>
    <row r="80" spans="1:4" x14ac:dyDescent="0.25">
      <c r="B80" s="11"/>
      <c r="D80" s="12"/>
    </row>
    <row r="85" spans="1:4" x14ac:dyDescent="0.25">
      <c r="C85" s="13"/>
    </row>
    <row r="86" spans="1:4" x14ac:dyDescent="0.25">
      <c r="C86" s="13"/>
    </row>
    <row r="87" spans="1:4" x14ac:dyDescent="0.25">
      <c r="C87" s="13"/>
    </row>
    <row r="88" spans="1:4" x14ac:dyDescent="0.25">
      <c r="A88" s="14"/>
      <c r="C88" s="13"/>
    </row>
    <row r="89" spans="1:4" x14ac:dyDescent="0.25">
      <c r="B89" s="11"/>
      <c r="D89" s="12"/>
    </row>
    <row r="94" spans="1:4" x14ac:dyDescent="0.25">
      <c r="A94" s="15"/>
    </row>
    <row r="96" spans="1:4" x14ac:dyDescent="0.25">
      <c r="A96" s="15"/>
      <c r="B96" s="16"/>
      <c r="C96" s="15"/>
      <c r="D96" s="15"/>
    </row>
    <row r="97" spans="1:4" x14ac:dyDescent="0.25">
      <c r="A97" s="15"/>
      <c r="B97" s="16"/>
      <c r="C97" s="15"/>
      <c r="D97" s="15"/>
    </row>
    <row r="98" spans="1:4" x14ac:dyDescent="0.25">
      <c r="A98" s="15"/>
      <c r="B98" s="16"/>
      <c r="C98" s="15"/>
      <c r="D98" s="15"/>
    </row>
    <row r="99" spans="1:4" x14ac:dyDescent="0.25">
      <c r="A99" s="15"/>
      <c r="B99" s="16"/>
      <c r="C99" s="15"/>
      <c r="D99" s="15"/>
    </row>
    <row r="100" spans="1:4" x14ac:dyDescent="0.25">
      <c r="A100" s="15"/>
      <c r="B100" s="16"/>
      <c r="C100" s="15"/>
      <c r="D100" s="15"/>
    </row>
    <row r="101" spans="1:4" x14ac:dyDescent="0.25">
      <c r="A101" s="15"/>
      <c r="B101" s="16"/>
      <c r="C101" s="15"/>
      <c r="D101" s="15"/>
    </row>
    <row r="102" spans="1:4" x14ac:dyDescent="0.25">
      <c r="A102" s="15"/>
      <c r="B102" s="16"/>
      <c r="C102" s="15"/>
      <c r="D102" s="15"/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9643B-F7D6-4A71-B803-4BFACBE5B785}">
  <dimension ref="A1:G97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175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145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3.51</v>
      </c>
      <c r="C9" s="23"/>
      <c r="D9" s="26"/>
    </row>
    <row r="10" spans="1:7" x14ac:dyDescent="0.2">
      <c r="A10" s="23" t="s">
        <v>114</v>
      </c>
      <c r="B10" s="24">
        <v>3</v>
      </c>
      <c r="C10" s="23"/>
      <c r="D10" s="26"/>
    </row>
    <row r="11" spans="1:7" x14ac:dyDescent="0.2">
      <c r="A11" s="23" t="s">
        <v>141</v>
      </c>
      <c r="B11" s="24">
        <v>3</v>
      </c>
      <c r="C11" s="23"/>
      <c r="D11" s="26"/>
    </row>
    <row r="12" spans="1:7" x14ac:dyDescent="0.2">
      <c r="A12" s="23" t="s">
        <v>115</v>
      </c>
      <c r="B12" s="24">
        <v>1.17</v>
      </c>
      <c r="C12" s="23"/>
      <c r="D12" s="26"/>
    </row>
    <row r="13" spans="1:7" x14ac:dyDescent="0.2">
      <c r="A13" s="23" t="s">
        <v>116</v>
      </c>
      <c r="B13" s="24">
        <v>1.17</v>
      </c>
      <c r="C13" s="23"/>
      <c r="D13" s="26"/>
    </row>
    <row r="14" spans="1:7" x14ac:dyDescent="0.2">
      <c r="A14" s="23" t="s">
        <v>119</v>
      </c>
      <c r="B14" s="24">
        <v>600</v>
      </c>
      <c r="C14" s="23"/>
      <c r="D14" s="26"/>
    </row>
    <row r="15" spans="1:7" x14ac:dyDescent="0.2">
      <c r="A15" s="23" t="s">
        <v>120</v>
      </c>
      <c r="B15" s="24">
        <v>40</v>
      </c>
      <c r="C15" s="23"/>
      <c r="D15" s="26"/>
    </row>
    <row r="16" spans="1:7" x14ac:dyDescent="0.2">
      <c r="A16" s="23"/>
      <c r="C16" s="23"/>
      <c r="D16" s="26"/>
    </row>
    <row r="17" spans="1:7" x14ac:dyDescent="0.2">
      <c r="A17" s="23"/>
      <c r="B17" s="27"/>
      <c r="C17" s="23"/>
      <c r="D17" s="26"/>
    </row>
    <row r="18" spans="1:7" x14ac:dyDescent="0.2">
      <c r="A18" s="28" t="s">
        <v>10</v>
      </c>
      <c r="B18" s="28"/>
      <c r="C18" s="28"/>
      <c r="D18" s="28"/>
      <c r="E18" s="28"/>
      <c r="F18" s="28"/>
      <c r="G18" s="28"/>
    </row>
    <row r="19" spans="1:7" x14ac:dyDescent="0.2">
      <c r="A19" s="28"/>
      <c r="B19" s="28"/>
      <c r="C19" s="28"/>
      <c r="D19" s="28"/>
      <c r="E19" s="28"/>
      <c r="F19" s="28"/>
      <c r="G19" s="28"/>
    </row>
    <row r="20" spans="1:7" x14ac:dyDescent="0.2">
      <c r="A20" s="29" t="s">
        <v>121</v>
      </c>
      <c r="B20" s="24" t="s">
        <v>122</v>
      </c>
      <c r="C20" s="29"/>
      <c r="D20" s="29"/>
      <c r="E20" s="29"/>
      <c r="F20" s="29"/>
    </row>
    <row r="21" spans="1:7" x14ac:dyDescent="0.2">
      <c r="A21" s="29" t="s">
        <v>123</v>
      </c>
      <c r="B21" s="24" t="s">
        <v>124</v>
      </c>
      <c r="C21" s="29"/>
      <c r="D21" s="29"/>
      <c r="E21" s="29"/>
      <c r="F21" s="29"/>
    </row>
    <row r="22" spans="1:7" x14ac:dyDescent="0.2">
      <c r="A22" s="29"/>
      <c r="B22" s="24" t="s">
        <v>125</v>
      </c>
      <c r="C22" s="29"/>
      <c r="D22" s="29"/>
      <c r="E22" s="29"/>
      <c r="F22" s="29"/>
    </row>
    <row r="23" spans="1:7" x14ac:dyDescent="0.2">
      <c r="A23" s="29" t="s">
        <v>126</v>
      </c>
      <c r="B23" s="24" t="s">
        <v>127</v>
      </c>
      <c r="C23" s="29"/>
      <c r="D23" s="29"/>
      <c r="E23" s="29"/>
      <c r="F23" s="29"/>
    </row>
    <row r="24" spans="1:7" x14ac:dyDescent="0.2">
      <c r="A24" s="29"/>
      <c r="B24" s="24" t="s">
        <v>142</v>
      </c>
      <c r="C24" s="29"/>
      <c r="D24" s="29"/>
      <c r="E24" s="29"/>
      <c r="F24" s="29"/>
    </row>
    <row r="25" spans="1:7" x14ac:dyDescent="0.2">
      <c r="A25" s="29" t="s">
        <v>129</v>
      </c>
      <c r="B25" s="24" t="s">
        <v>130</v>
      </c>
      <c r="C25" s="29"/>
      <c r="D25" s="29"/>
      <c r="E25" s="29"/>
      <c r="F25" s="29"/>
    </row>
    <row r="26" spans="1:7" x14ac:dyDescent="0.2">
      <c r="A26" s="29" t="s">
        <v>134</v>
      </c>
      <c r="B26" s="24" t="s">
        <v>135</v>
      </c>
      <c r="C26" s="29"/>
      <c r="D26" s="29"/>
      <c r="E26" s="29"/>
      <c r="F26" s="29"/>
    </row>
    <row r="27" spans="1:7" x14ac:dyDescent="0.2">
      <c r="A27" s="29" t="s">
        <v>136</v>
      </c>
      <c r="B27" s="24" t="s">
        <v>137</v>
      </c>
      <c r="C27" s="29"/>
      <c r="D27" s="29"/>
      <c r="E27" s="29"/>
      <c r="F27" s="29"/>
    </row>
    <row r="28" spans="1:7" x14ac:dyDescent="0.2">
      <c r="A28" s="29" t="s">
        <v>143</v>
      </c>
      <c r="B28" s="24" t="s">
        <v>144</v>
      </c>
      <c r="C28" s="29"/>
      <c r="D28" s="29"/>
      <c r="E28" s="29"/>
      <c r="F28" s="29"/>
    </row>
    <row r="29" spans="1:7" x14ac:dyDescent="0.2">
      <c r="A29" s="29"/>
      <c r="C29" s="29"/>
      <c r="D29" s="29"/>
      <c r="E29" s="29"/>
      <c r="F29" s="29"/>
    </row>
    <row r="30" spans="1:7" x14ac:dyDescent="0.2">
      <c r="A30" s="29"/>
      <c r="C30" s="29"/>
      <c r="D30" s="29"/>
      <c r="E30" s="29"/>
      <c r="F30" s="29"/>
    </row>
    <row r="31" spans="1:7" x14ac:dyDescent="0.2">
      <c r="A31" s="25" t="s">
        <v>14</v>
      </c>
      <c r="B31" s="25"/>
      <c r="C31" s="25"/>
      <c r="D31" s="25"/>
      <c r="E31" s="25"/>
      <c r="F31" s="25"/>
      <c r="G31" s="25"/>
    </row>
    <row r="33" spans="1:7" s="29" customFormat="1" x14ac:dyDescent="0.2">
      <c r="A33" s="29" t="s">
        <v>25</v>
      </c>
      <c r="B33" s="29" t="s">
        <v>38</v>
      </c>
      <c r="C33" s="29" t="s">
        <v>2</v>
      </c>
      <c r="D33" s="30" t="s">
        <v>9</v>
      </c>
      <c r="E33" s="30" t="s">
        <v>3</v>
      </c>
      <c r="F33" s="30" t="s">
        <v>4</v>
      </c>
      <c r="G33" s="30" t="s">
        <v>16</v>
      </c>
    </row>
    <row r="34" spans="1:7" x14ac:dyDescent="0.2">
      <c r="A34" s="24" t="str">
        <f>MatP8815C0Colour</f>
        <v>Not Specified</v>
      </c>
      <c r="B34" s="24" t="str">
        <f>IF(MatP8815C0Code=0,"",MatP8815C0Code)</f>
        <v/>
      </c>
      <c r="C34" s="24" t="str">
        <f>MatP8815C0Desc</f>
        <v>TLE Tile</v>
      </c>
      <c r="D34" s="31">
        <v>41</v>
      </c>
      <c r="E34" s="32">
        <f>MatP8815C0Price</f>
        <v>1.2</v>
      </c>
      <c r="F34" s="33" t="str">
        <f>MatP8815C0PerText</f>
        <v>Each</v>
      </c>
      <c r="G34" s="32">
        <f t="shared" ref="G34:G49" si="0">D34 * E34</f>
        <v>49.199999999999996</v>
      </c>
    </row>
    <row r="35" spans="1:7" x14ac:dyDescent="0.2">
      <c r="A35" s="24" t="str">
        <f>MatP10135C0Colour</f>
        <v>Not Specified</v>
      </c>
      <c r="B35" s="24" t="str">
        <f>IF(MatP10135C0Code=0,"",MatP10135C0Code)</f>
        <v/>
      </c>
      <c r="C35" s="24" t="str">
        <f>MatP10135C0Desc</f>
        <v>VP300 Vapour Permeable Underlay (50m x 1m)</v>
      </c>
      <c r="D35" s="31">
        <v>0.25</v>
      </c>
      <c r="E35" s="32">
        <f>MatP10135C0Price</f>
        <v>35</v>
      </c>
      <c r="F35" s="33" t="str">
        <f>MatP10135C0PerText</f>
        <v>Roll</v>
      </c>
      <c r="G35" s="32">
        <f t="shared" si="0"/>
        <v>8.75</v>
      </c>
    </row>
    <row r="36" spans="1:7" x14ac:dyDescent="0.2">
      <c r="A36" s="24" t="str">
        <f>MatP9008C0Colour</f>
        <v>Not Specified</v>
      </c>
      <c r="B36" s="24" t="str">
        <f>IF(MatP9008C0Code=0,"",MatP9008C0Code)</f>
        <v/>
      </c>
      <c r="C36" s="24" t="str">
        <f>MatP9008C0Desc</f>
        <v>Battens (50mm x 25mm)</v>
      </c>
      <c r="D36" s="31">
        <v>12</v>
      </c>
      <c r="E36" s="32">
        <f>MatP9008C0Price</f>
        <v>0.9</v>
      </c>
      <c r="F36" s="33" t="str">
        <f>MatP9008C0PerText</f>
        <v>Metre</v>
      </c>
      <c r="G36" s="32">
        <f t="shared" si="0"/>
        <v>10.8</v>
      </c>
    </row>
    <row r="37" spans="1:7" x14ac:dyDescent="0.2">
      <c r="A37" s="24" t="str">
        <f>MatP8857C0Colour</f>
        <v>Not Specified</v>
      </c>
      <c r="B37" s="24" t="str">
        <f>IF(MatP8857C0Code=0,"",MatP8857C0Code)</f>
        <v/>
      </c>
      <c r="C37" s="24" t="str">
        <f>MatP8857C0Desc</f>
        <v>LH Uni-Fix Dry Verge Unit</v>
      </c>
      <c r="D37" s="31">
        <v>8</v>
      </c>
      <c r="E37" s="32">
        <f>MatP8857C0Price</f>
        <v>1.1000000000000001</v>
      </c>
      <c r="F37" s="33" t="str">
        <f>MatP8857C0PerText</f>
        <v>Each</v>
      </c>
      <c r="G37" s="32">
        <f t="shared" si="0"/>
        <v>8.8000000000000007</v>
      </c>
    </row>
    <row r="38" spans="1:7" x14ac:dyDescent="0.2">
      <c r="A38" s="24" t="str">
        <f>MatP8869C0Colour</f>
        <v>Not Specified</v>
      </c>
      <c r="B38" s="24" t="str">
        <f>IF(MatP8869C0Code=0,"",MatP8869C0Code)</f>
        <v/>
      </c>
      <c r="C38" s="24" t="str">
        <f>MatP8869C0Desc</f>
        <v>RH Uni-Fix Dry Verge Unit</v>
      </c>
      <c r="D38" s="31">
        <v>8</v>
      </c>
      <c r="E38" s="32">
        <f>MatP8869C0Price</f>
        <v>1.1000000000000001</v>
      </c>
      <c r="F38" s="33" t="str">
        <f>MatP8869C0PerText</f>
        <v>Each</v>
      </c>
      <c r="G38" s="32">
        <f t="shared" si="0"/>
        <v>8.8000000000000007</v>
      </c>
    </row>
    <row r="39" spans="1:7" x14ac:dyDescent="0.2">
      <c r="A39" s="24" t="str">
        <f>MatP8830C20Colour</f>
        <v>Not Specified</v>
      </c>
      <c r="B39" s="24" t="str">
        <f>IF(MatP8830C20Code=0,"",MatP8830C20Code)</f>
        <v/>
      </c>
      <c r="C39" s="24" t="str">
        <f>MatP8830C20Desc</f>
        <v>Dry Verge Starter Unit</v>
      </c>
      <c r="D39" s="31">
        <v>2</v>
      </c>
      <c r="E39" s="32">
        <f>MatP8830C20Price</f>
        <v>1.51</v>
      </c>
      <c r="F39" s="33" t="str">
        <f>MatP8830C20PerText</f>
        <v>Each</v>
      </c>
      <c r="G39" s="32">
        <f t="shared" si="0"/>
        <v>3.02</v>
      </c>
    </row>
    <row r="40" spans="1:7" x14ac:dyDescent="0.2">
      <c r="A40" s="24" t="str">
        <f>MatP8821C20Colour</f>
        <v>Not Specified</v>
      </c>
      <c r="B40" s="24" t="str">
        <f>IF(MatP8821C20Code=0,"",MatP8821C20Code)</f>
        <v/>
      </c>
      <c r="C40" s="24" t="str">
        <f>MatP8821C20Desc</f>
        <v>25mm Over Fascia Vent (1m)</v>
      </c>
      <c r="D40" s="31">
        <v>3</v>
      </c>
      <c r="E40" s="32">
        <f>MatP8821C20Price</f>
        <v>1.9</v>
      </c>
      <c r="F40" s="33" t="str">
        <f>MatP8821C20PerText</f>
        <v>Each</v>
      </c>
      <c r="G40" s="32">
        <f t="shared" si="0"/>
        <v>5.6999999999999993</v>
      </c>
    </row>
    <row r="41" spans="1:7" x14ac:dyDescent="0.2">
      <c r="A41" s="24" t="str">
        <f>MatP8281C0Colour</f>
        <v>Not Specified</v>
      </c>
      <c r="B41" s="24" t="str">
        <f>IF(MatP8281C0Code=0,"",MatP8281C0Code)</f>
        <v/>
      </c>
      <c r="C41" s="24" t="str">
        <f>MatP8281C0Desc</f>
        <v>Generic Eave Insulation (1m)</v>
      </c>
      <c r="D41" s="31">
        <v>3</v>
      </c>
      <c r="E41" s="32">
        <f>MatP8281C0Price</f>
        <v>5</v>
      </c>
      <c r="F41" s="33" t="str">
        <f>MatP8281C0PerText</f>
        <v>Each</v>
      </c>
      <c r="G41" s="32">
        <f t="shared" si="0"/>
        <v>15</v>
      </c>
    </row>
    <row r="42" spans="1:7" x14ac:dyDescent="0.2">
      <c r="A42" s="24" t="str">
        <f>MatP8866C20Colour</f>
        <v>Not Specified</v>
      </c>
      <c r="B42" s="24" t="str">
        <f>IF(MatP8866C20Code=0,"",MatP8866C20Code)</f>
        <v/>
      </c>
      <c r="C42" s="24" t="str">
        <f>MatP8866C20Desc</f>
        <v>Rafter Roll (6m x 600mm)</v>
      </c>
      <c r="D42" s="31">
        <v>1</v>
      </c>
      <c r="E42" s="32">
        <f>MatP8866C20Price</f>
        <v>9.5</v>
      </c>
      <c r="F42" s="33" t="str">
        <f>MatP8866C20PerText</f>
        <v>Each</v>
      </c>
      <c r="G42" s="32">
        <f t="shared" si="0"/>
        <v>9.5</v>
      </c>
    </row>
    <row r="43" spans="1:7" x14ac:dyDescent="0.2">
      <c r="A43" s="24" t="str">
        <f>MatP8874C20Colour</f>
        <v>Not Specified</v>
      </c>
      <c r="B43" s="24" t="str">
        <f>IF(MatP8874C20Code=0,"",MatP8874C20Code)</f>
        <v/>
      </c>
      <c r="C43" s="24" t="str">
        <f>MatP8874C20Desc</f>
        <v>Underlay Support Tray (1.5m)</v>
      </c>
      <c r="D43" s="31">
        <v>2</v>
      </c>
      <c r="E43" s="32">
        <f>MatP8874C20Price</f>
        <v>1.5</v>
      </c>
      <c r="F43" s="33" t="str">
        <f>MatP8874C20PerText</f>
        <v>Each</v>
      </c>
      <c r="G43" s="32">
        <f t="shared" si="0"/>
        <v>3</v>
      </c>
    </row>
    <row r="44" spans="1:7" x14ac:dyDescent="0.2">
      <c r="A44" s="24" t="str">
        <f>MatP8872C539Colour</f>
        <v>Not Specified</v>
      </c>
      <c r="B44" s="24" t="str">
        <f>IF(MatP8872C539Code=0,"",MatP8872C539Code)</f>
        <v/>
      </c>
      <c r="C44" s="24" t="str">
        <f>MatP8872C539Desc</f>
        <v>Sidelock Tile Clips (TLE)</v>
      </c>
      <c r="D44" s="31">
        <v>6</v>
      </c>
      <c r="E44" s="32">
        <f>MatP8872C539Price</f>
        <v>7.0000000000000007E-2</v>
      </c>
      <c r="F44" s="33" t="str">
        <f>MatP8872C539PerText</f>
        <v>Each</v>
      </c>
      <c r="G44" s="32">
        <f t="shared" si="0"/>
        <v>0.42000000000000004</v>
      </c>
    </row>
    <row r="45" spans="1:7" x14ac:dyDescent="0.2">
      <c r="A45" s="24" t="str">
        <f>MatP8826C539Colour</f>
        <v>Not Specified</v>
      </c>
      <c r="B45" s="24" t="str">
        <f>IF(MatP8826C539Code=0,"",MatP8826C539Code)</f>
        <v/>
      </c>
      <c r="C45" s="24" t="str">
        <f>MatP8826C539Desc</f>
        <v>Metal Batten End Clips</v>
      </c>
      <c r="D45" s="31">
        <v>8</v>
      </c>
      <c r="E45" s="32">
        <f>MatP8826C539Price</f>
        <v>0.28000000000000003</v>
      </c>
      <c r="F45" s="33" t="str">
        <f>MatP8826C539PerText</f>
        <v>Each</v>
      </c>
      <c r="G45" s="32">
        <f t="shared" si="0"/>
        <v>2.2400000000000002</v>
      </c>
    </row>
    <row r="46" spans="1:7" x14ac:dyDescent="0.2">
      <c r="A46" s="24" t="str">
        <f>MatP8831C539Colour</f>
        <v>Not Specified</v>
      </c>
      <c r="B46" s="24" t="str">
        <f>IF(MatP8831C539Code=0,"",MatP8831C539Code)</f>
        <v/>
      </c>
      <c r="C46" s="24" t="str">
        <f>MatP8831C539Desc</f>
        <v>Eave Clip</v>
      </c>
      <c r="D46" s="31">
        <v>10</v>
      </c>
      <c r="E46" s="32">
        <f>MatP8831C539Price</f>
        <v>0.1</v>
      </c>
      <c r="F46" s="33" t="str">
        <f>MatP8831C539PerText</f>
        <v>Each</v>
      </c>
      <c r="G46" s="32">
        <f t="shared" si="0"/>
        <v>1</v>
      </c>
    </row>
    <row r="47" spans="1:7" x14ac:dyDescent="0.2">
      <c r="A47" s="24" t="str">
        <f>MatP9318C0Colour</f>
        <v>Not Specified</v>
      </c>
      <c r="B47" s="24" t="str">
        <f>IF(MatP9318C0Code=0,"",MatP9318C0Code)</f>
        <v/>
      </c>
      <c r="C47" s="24" t="str">
        <f>MatP9318C0Desc</f>
        <v>45mm x 3.35mm Aluminium Nails</v>
      </c>
      <c r="D47" s="31">
        <v>1</v>
      </c>
      <c r="E47" s="32">
        <f>MatP9318C0Price</f>
        <v>7.28</v>
      </c>
      <c r="F47" s="33" t="str">
        <f>MatP9318C0PerText</f>
        <v>Kg</v>
      </c>
      <c r="G47" s="32">
        <f t="shared" si="0"/>
        <v>7.28</v>
      </c>
    </row>
    <row r="48" spans="1:7" x14ac:dyDescent="0.2">
      <c r="A48" s="24" t="str">
        <f>MatP9100C0Colour</f>
        <v>Not Specified</v>
      </c>
      <c r="B48" s="24" t="str">
        <f>IF(MatP9100C0Code=0,"",MatP9100C0Code)</f>
        <v/>
      </c>
      <c r="C48" s="24" t="str">
        <f>MatP9100C0Desc</f>
        <v>Batten Nails - 65mm x 3.35mm Galvanised</v>
      </c>
      <c r="D48" s="31">
        <v>1</v>
      </c>
      <c r="E48" s="32">
        <f>MatP9100C0Price</f>
        <v>4.5</v>
      </c>
      <c r="F48" s="33" t="str">
        <f>MatP9100C0PerText</f>
        <v>Kg</v>
      </c>
      <c r="G48" s="32">
        <f t="shared" si="0"/>
        <v>4.5</v>
      </c>
    </row>
    <row r="49" spans="1:7" x14ac:dyDescent="0.2">
      <c r="A49" s="24" t="str">
        <f>MatP9066C92Colour</f>
        <v>Not Specified</v>
      </c>
      <c r="B49" s="24" t="str">
        <f>IF(MatP9066C92Code=0,"",MatP9066C92Code)</f>
        <v/>
      </c>
      <c r="C49" s="24" t="str">
        <f>MatP9066C92Desc</f>
        <v>Lead Code 4 - 300mm (6m)</v>
      </c>
      <c r="D49" s="31">
        <v>6</v>
      </c>
      <c r="E49" s="32">
        <f>MatP9066C92Price</f>
        <v>15.21</v>
      </c>
      <c r="F49" s="33" t="str">
        <f>MatP9066C92PerText</f>
        <v>Metre</v>
      </c>
      <c r="G49" s="32">
        <f t="shared" si="0"/>
        <v>91.26</v>
      </c>
    </row>
    <row r="50" spans="1:7" x14ac:dyDescent="0.2">
      <c r="D50" s="31"/>
      <c r="E50" s="32"/>
      <c r="F50" s="33"/>
      <c r="G50" s="32"/>
    </row>
    <row r="51" spans="1:7" x14ac:dyDescent="0.2">
      <c r="F51" s="34" t="s">
        <v>5</v>
      </c>
      <c r="G51" s="35">
        <f>SUM(G34:G50)</f>
        <v>229.26999999999998</v>
      </c>
    </row>
    <row r="52" spans="1:7" x14ac:dyDescent="0.2">
      <c r="G52" s="34"/>
    </row>
    <row r="53" spans="1:7" x14ac:dyDescent="0.2">
      <c r="A53" s="25" t="s">
        <v>15</v>
      </c>
      <c r="B53" s="25"/>
      <c r="D53" s="25"/>
      <c r="E53" s="25"/>
      <c r="F53" s="25"/>
      <c r="G53" s="25"/>
    </row>
    <row r="55" spans="1:7" x14ac:dyDescent="0.2">
      <c r="A55" s="102" t="s">
        <v>6</v>
      </c>
      <c r="B55" s="102"/>
      <c r="C55" s="102"/>
      <c r="D55" s="34" t="s">
        <v>7</v>
      </c>
      <c r="E55" s="34" t="s">
        <v>9</v>
      </c>
      <c r="F55" s="34" t="s">
        <v>8</v>
      </c>
      <c r="G55" s="34" t="s">
        <v>16</v>
      </c>
    </row>
    <row r="56" spans="1:7" x14ac:dyDescent="0.2">
      <c r="A56" s="103" t="str">
        <f>LabP8815R6L1G1Desc</f>
        <v>Main Area</v>
      </c>
      <c r="B56" s="103"/>
      <c r="C56" s="103"/>
      <c r="D56" s="36">
        <f>LabP8815R6L1G1Rate</f>
        <v>9</v>
      </c>
      <c r="E56" s="37">
        <f>'HNB-SMI-Porch (Lean to)'!Area</f>
        <v>3.51</v>
      </c>
      <c r="F56" s="27" t="str">
        <f xml:space="preserve"> "" &amp; LabP8815R6L1G1Per</f>
        <v>m²</v>
      </c>
      <c r="G56" s="36">
        <f>D56 * E56</f>
        <v>31.589999999999996</v>
      </c>
    </row>
    <row r="57" spans="1:7" x14ac:dyDescent="0.2">
      <c r="A57" s="24" t="str">
        <f>LabP8815R0L1G2Desc</f>
        <v>Eave</v>
      </c>
      <c r="D57" s="36">
        <f>LabP8815R0L1G2Rate</f>
        <v>2.5</v>
      </c>
      <c r="E57" s="37">
        <f>'HNB-SMI-Porch (Lean to)'!Eave</f>
        <v>3</v>
      </c>
      <c r="F57" s="27" t="str">
        <f xml:space="preserve"> "" &amp; LabP8815R0L1G2Per</f>
        <v>m</v>
      </c>
      <c r="G57" s="36">
        <f>D57 * E57</f>
        <v>7.5</v>
      </c>
    </row>
    <row r="58" spans="1:7" x14ac:dyDescent="0.2">
      <c r="A58" s="24" t="str">
        <f>LabP8815R0L1G3Desc</f>
        <v>Verge</v>
      </c>
      <c r="D58" s="36">
        <f>LabP8815R0L1G3Rate</f>
        <v>2.5</v>
      </c>
      <c r="E58" s="37">
        <f>LeftVerge+RightVerge</f>
        <v>2.34</v>
      </c>
      <c r="F58" s="27" t="str">
        <f xml:space="preserve"> "" &amp; LabP8815R0L1G3Per</f>
        <v>m</v>
      </c>
      <c r="G58" s="36">
        <f>D58 * E58</f>
        <v>5.85</v>
      </c>
    </row>
    <row r="59" spans="1:7" x14ac:dyDescent="0.2">
      <c r="A59" s="24" t="str">
        <f>LabP8815R15L1G243Desc</f>
        <v>Apron Flashing (Code 4)</v>
      </c>
      <c r="D59" s="36">
        <f>LabP8815R15L1G243Rate</f>
        <v>15</v>
      </c>
      <c r="E59" s="37">
        <v>3</v>
      </c>
      <c r="F59" s="27" t="str">
        <f xml:space="preserve"> "" &amp; LabP8815R15L1G243Per</f>
        <v>m</v>
      </c>
      <c r="G59" s="36">
        <f>D59 * E59</f>
        <v>45</v>
      </c>
    </row>
    <row r="60" spans="1:7" x14ac:dyDescent="0.2">
      <c r="A60" s="24" t="str">
        <f>LabP8815R150LabLabourforPorchesDesc</f>
        <v>Labour for Porches</v>
      </c>
      <c r="D60" s="36">
        <f>LabP8815R150LabLabourforPorchesRate</f>
        <v>150</v>
      </c>
      <c r="E60" s="37">
        <v>1</v>
      </c>
      <c r="F60" s="27" t="str">
        <f xml:space="preserve"> "" &amp; LabP8815R150LabLabourforPorchesPer</f>
        <v/>
      </c>
      <c r="G60" s="36">
        <f>D60 * E60</f>
        <v>150</v>
      </c>
    </row>
    <row r="61" spans="1:7" x14ac:dyDescent="0.2">
      <c r="D61" s="36"/>
      <c r="E61" s="37"/>
      <c r="F61" s="27"/>
      <c r="G61" s="36"/>
    </row>
    <row r="62" spans="1:7" x14ac:dyDescent="0.2">
      <c r="A62" s="103"/>
      <c r="B62" s="103"/>
      <c r="C62" s="103"/>
      <c r="D62" s="36"/>
      <c r="E62" s="37"/>
      <c r="G62" s="36"/>
    </row>
    <row r="63" spans="1:7" x14ac:dyDescent="0.2">
      <c r="F63" s="34" t="s">
        <v>5</v>
      </c>
      <c r="G63" s="35">
        <f>SUM(G56:G62)</f>
        <v>239.94</v>
      </c>
    </row>
    <row r="67" spans="1:3" x14ac:dyDescent="0.2">
      <c r="A67" s="34"/>
      <c r="B67" s="38"/>
    </row>
    <row r="69" spans="1:3" x14ac:dyDescent="0.2">
      <c r="A69" s="34"/>
      <c r="B69" s="38"/>
    </row>
    <row r="71" spans="1:3" x14ac:dyDescent="0.2">
      <c r="A71" s="34"/>
      <c r="B71" s="38"/>
    </row>
    <row r="73" spans="1:3" x14ac:dyDescent="0.2">
      <c r="A73" s="34"/>
      <c r="B73" s="38"/>
    </row>
    <row r="76" spans="1:3" x14ac:dyDescent="0.2">
      <c r="A76" s="34"/>
      <c r="B76" s="38"/>
      <c r="C76" s="39"/>
    </row>
    <row r="78" spans="1:3" x14ac:dyDescent="0.2">
      <c r="A78" s="34"/>
      <c r="B78" s="38"/>
    </row>
    <row r="80" spans="1:3" x14ac:dyDescent="0.2">
      <c r="A80" s="34"/>
      <c r="B80" s="38"/>
      <c r="C80" s="39"/>
    </row>
    <row r="82" spans="1:3" x14ac:dyDescent="0.2">
      <c r="A82" s="34"/>
      <c r="B82" s="38"/>
    </row>
    <row r="84" spans="1:3" x14ac:dyDescent="0.2">
      <c r="A84" s="34"/>
      <c r="B84" s="38"/>
    </row>
    <row r="87" spans="1:3" x14ac:dyDescent="0.2">
      <c r="A87" s="34"/>
      <c r="B87" s="38"/>
    </row>
    <row r="89" spans="1:3" x14ac:dyDescent="0.2">
      <c r="A89" s="34"/>
      <c r="B89" s="38"/>
    </row>
    <row r="91" spans="1:3" x14ac:dyDescent="0.2">
      <c r="A91" s="34"/>
      <c r="B91" s="38"/>
      <c r="C91" s="39"/>
    </row>
    <row r="94" spans="1:3" x14ac:dyDescent="0.2">
      <c r="A94" s="34"/>
      <c r="B94" s="40"/>
      <c r="C94" s="23"/>
    </row>
    <row r="97" spans="1:2" x14ac:dyDescent="0.2">
      <c r="A97" s="39"/>
      <c r="B97" s="41"/>
    </row>
  </sheetData>
  <mergeCells count="5">
    <mergeCell ref="B4:F4"/>
    <mergeCell ref="B5:F5"/>
    <mergeCell ref="A55:C55"/>
    <mergeCell ref="A56:C56"/>
    <mergeCell ref="A62:C62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82337-D4CE-42A2-8633-0DA2DA402385}">
  <dimension ref="A1:G97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175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145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3.51</v>
      </c>
      <c r="C9" s="23"/>
      <c r="D9" s="26"/>
    </row>
    <row r="10" spans="1:7" x14ac:dyDescent="0.2">
      <c r="A10" s="23" t="s">
        <v>114</v>
      </c>
      <c r="B10" s="24">
        <v>3</v>
      </c>
      <c r="C10" s="23"/>
      <c r="D10" s="26"/>
    </row>
    <row r="11" spans="1:7" x14ac:dyDescent="0.2">
      <c r="A11" s="23" t="s">
        <v>141</v>
      </c>
      <c r="B11" s="24">
        <v>3</v>
      </c>
      <c r="C11" s="23"/>
      <c r="D11" s="26"/>
    </row>
    <row r="12" spans="1:7" x14ac:dyDescent="0.2">
      <c r="A12" s="23" t="s">
        <v>115</v>
      </c>
      <c r="B12" s="24">
        <v>1.17</v>
      </c>
      <c r="C12" s="23"/>
      <c r="D12" s="26"/>
    </row>
    <row r="13" spans="1:7" x14ac:dyDescent="0.2">
      <c r="A13" s="23" t="s">
        <v>116</v>
      </c>
      <c r="B13" s="24">
        <v>1.17</v>
      </c>
      <c r="C13" s="23"/>
      <c r="D13" s="26"/>
    </row>
    <row r="14" spans="1:7" x14ac:dyDescent="0.2">
      <c r="A14" s="23" t="s">
        <v>119</v>
      </c>
      <c r="B14" s="24">
        <v>600</v>
      </c>
      <c r="C14" s="23"/>
      <c r="D14" s="26"/>
    </row>
    <row r="15" spans="1:7" x14ac:dyDescent="0.2">
      <c r="A15" s="23" t="s">
        <v>120</v>
      </c>
      <c r="B15" s="24">
        <v>40</v>
      </c>
      <c r="C15" s="23"/>
      <c r="D15" s="26"/>
    </row>
    <row r="16" spans="1:7" x14ac:dyDescent="0.2">
      <c r="A16" s="23"/>
      <c r="C16" s="23"/>
      <c r="D16" s="26"/>
    </row>
    <row r="17" spans="1:7" x14ac:dyDescent="0.2">
      <c r="A17" s="23"/>
      <c r="B17" s="27"/>
      <c r="C17" s="23"/>
      <c r="D17" s="26"/>
    </row>
    <row r="18" spans="1:7" x14ac:dyDescent="0.2">
      <c r="A18" s="28" t="s">
        <v>10</v>
      </c>
      <c r="B18" s="28"/>
      <c r="C18" s="28"/>
      <c r="D18" s="28"/>
      <c r="E18" s="28"/>
      <c r="F18" s="28"/>
      <c r="G18" s="28"/>
    </row>
    <row r="19" spans="1:7" x14ac:dyDescent="0.2">
      <c r="A19" s="28"/>
      <c r="B19" s="28"/>
      <c r="C19" s="28"/>
      <c r="D19" s="28"/>
      <c r="E19" s="28"/>
      <c r="F19" s="28"/>
      <c r="G19" s="28"/>
    </row>
    <row r="20" spans="1:7" x14ac:dyDescent="0.2">
      <c r="A20" s="29" t="s">
        <v>121</v>
      </c>
      <c r="B20" s="24" t="s">
        <v>122</v>
      </c>
      <c r="C20" s="29"/>
      <c r="D20" s="29"/>
      <c r="E20" s="29"/>
      <c r="F20" s="29"/>
    </row>
    <row r="21" spans="1:7" x14ac:dyDescent="0.2">
      <c r="A21" s="29" t="s">
        <v>123</v>
      </c>
      <c r="B21" s="24" t="s">
        <v>124</v>
      </c>
      <c r="C21" s="29"/>
      <c r="D21" s="29"/>
      <c r="E21" s="29"/>
      <c r="F21" s="29"/>
    </row>
    <row r="22" spans="1:7" x14ac:dyDescent="0.2">
      <c r="A22" s="29"/>
      <c r="B22" s="24" t="s">
        <v>125</v>
      </c>
      <c r="C22" s="29"/>
      <c r="D22" s="29"/>
      <c r="E22" s="29"/>
      <c r="F22" s="29"/>
    </row>
    <row r="23" spans="1:7" x14ac:dyDescent="0.2">
      <c r="A23" s="29" t="s">
        <v>126</v>
      </c>
      <c r="B23" s="24" t="s">
        <v>127</v>
      </c>
      <c r="C23" s="29"/>
      <c r="D23" s="29"/>
      <c r="E23" s="29"/>
      <c r="F23" s="29"/>
    </row>
    <row r="24" spans="1:7" x14ac:dyDescent="0.2">
      <c r="A24" s="29"/>
      <c r="B24" s="24" t="s">
        <v>142</v>
      </c>
      <c r="C24" s="29"/>
      <c r="D24" s="29"/>
      <c r="E24" s="29"/>
      <c r="F24" s="29"/>
    </row>
    <row r="25" spans="1:7" x14ac:dyDescent="0.2">
      <c r="A25" s="29" t="s">
        <v>129</v>
      </c>
      <c r="B25" s="24" t="s">
        <v>130</v>
      </c>
      <c r="C25" s="29"/>
      <c r="D25" s="29"/>
      <c r="E25" s="29"/>
      <c r="F25" s="29"/>
    </row>
    <row r="26" spans="1:7" x14ac:dyDescent="0.2">
      <c r="A26" s="29" t="s">
        <v>134</v>
      </c>
      <c r="B26" s="24" t="s">
        <v>135</v>
      </c>
      <c r="C26" s="29"/>
      <c r="D26" s="29"/>
      <c r="E26" s="29"/>
      <c r="F26" s="29"/>
    </row>
    <row r="27" spans="1:7" x14ac:dyDescent="0.2">
      <c r="A27" s="29" t="s">
        <v>136</v>
      </c>
      <c r="B27" s="24" t="s">
        <v>137</v>
      </c>
      <c r="C27" s="29"/>
      <c r="D27" s="29"/>
      <c r="E27" s="29"/>
      <c r="F27" s="29"/>
    </row>
    <row r="28" spans="1:7" x14ac:dyDescent="0.2">
      <c r="A28" s="29" t="s">
        <v>143</v>
      </c>
      <c r="B28" s="24" t="s">
        <v>144</v>
      </c>
      <c r="C28" s="29"/>
      <c r="D28" s="29"/>
      <c r="E28" s="29"/>
      <c r="F28" s="29"/>
    </row>
    <row r="29" spans="1:7" x14ac:dyDescent="0.2">
      <c r="A29" s="29"/>
      <c r="C29" s="29"/>
      <c r="D29" s="29"/>
      <c r="E29" s="29"/>
      <c r="F29" s="29"/>
    </row>
    <row r="30" spans="1:7" x14ac:dyDescent="0.2">
      <c r="A30" s="29"/>
      <c r="C30" s="29"/>
      <c r="D30" s="29"/>
      <c r="E30" s="29"/>
      <c r="F30" s="29"/>
    </row>
    <row r="31" spans="1:7" x14ac:dyDescent="0.2">
      <c r="A31" s="25" t="s">
        <v>14</v>
      </c>
      <c r="B31" s="25"/>
      <c r="C31" s="25"/>
      <c r="D31" s="25"/>
      <c r="E31" s="25"/>
      <c r="F31" s="25"/>
      <c r="G31" s="25"/>
    </row>
    <row r="33" spans="1:7" s="29" customFormat="1" x14ac:dyDescent="0.2">
      <c r="A33" s="29" t="s">
        <v>25</v>
      </c>
      <c r="B33" s="29" t="s">
        <v>38</v>
      </c>
      <c r="C33" s="29" t="s">
        <v>2</v>
      </c>
      <c r="D33" s="30" t="s">
        <v>9</v>
      </c>
      <c r="E33" s="30" t="s">
        <v>3</v>
      </c>
      <c r="F33" s="30" t="s">
        <v>4</v>
      </c>
      <c r="G33" s="30" t="s">
        <v>16</v>
      </c>
    </row>
    <row r="34" spans="1:7" x14ac:dyDescent="0.2">
      <c r="A34" s="24" t="str">
        <f>MatP8815C0Colour</f>
        <v>Not Specified</v>
      </c>
      <c r="B34" s="24" t="str">
        <f>IF(MatP8815C0Code=0,"",MatP8815C0Code)</f>
        <v/>
      </c>
      <c r="C34" s="24" t="str">
        <f>MatP8815C0Desc</f>
        <v>TLE Tile</v>
      </c>
      <c r="D34" s="31">
        <v>41</v>
      </c>
      <c r="E34" s="32">
        <f>MatP8815C0Price</f>
        <v>1.2</v>
      </c>
      <c r="F34" s="33" t="str">
        <f>MatP8815C0PerText</f>
        <v>Each</v>
      </c>
      <c r="G34" s="32">
        <f t="shared" ref="G34:G49" si="0">D34 * E34</f>
        <v>49.199999999999996</v>
      </c>
    </row>
    <row r="35" spans="1:7" x14ac:dyDescent="0.2">
      <c r="A35" s="24" t="str">
        <f>MatP10135C0Colour</f>
        <v>Not Specified</v>
      </c>
      <c r="B35" s="24" t="str">
        <f>IF(MatP10135C0Code=0,"",MatP10135C0Code)</f>
        <v/>
      </c>
      <c r="C35" s="24" t="str">
        <f>MatP10135C0Desc</f>
        <v>VP300 Vapour Permeable Underlay (50m x 1m)</v>
      </c>
      <c r="D35" s="31">
        <v>0.25</v>
      </c>
      <c r="E35" s="32">
        <f>MatP10135C0Price</f>
        <v>35</v>
      </c>
      <c r="F35" s="33" t="str">
        <f>MatP10135C0PerText</f>
        <v>Roll</v>
      </c>
      <c r="G35" s="32">
        <f t="shared" si="0"/>
        <v>8.75</v>
      </c>
    </row>
    <row r="36" spans="1:7" x14ac:dyDescent="0.2">
      <c r="A36" s="24" t="str">
        <f>MatP9008C0Colour</f>
        <v>Not Specified</v>
      </c>
      <c r="B36" s="24" t="str">
        <f>IF(MatP9008C0Code=0,"",MatP9008C0Code)</f>
        <v/>
      </c>
      <c r="C36" s="24" t="str">
        <f>MatP9008C0Desc</f>
        <v>Battens (50mm x 25mm)</v>
      </c>
      <c r="D36" s="31">
        <v>12</v>
      </c>
      <c r="E36" s="32">
        <f>MatP9008C0Price</f>
        <v>0.9</v>
      </c>
      <c r="F36" s="33" t="str">
        <f>MatP9008C0PerText</f>
        <v>Metre</v>
      </c>
      <c r="G36" s="32">
        <f t="shared" si="0"/>
        <v>10.8</v>
      </c>
    </row>
    <row r="37" spans="1:7" x14ac:dyDescent="0.2">
      <c r="A37" s="24" t="str">
        <f>MatP8857C0Colour</f>
        <v>Not Specified</v>
      </c>
      <c r="B37" s="24" t="str">
        <f>IF(MatP8857C0Code=0,"",MatP8857C0Code)</f>
        <v/>
      </c>
      <c r="C37" s="24" t="str">
        <f>MatP8857C0Desc</f>
        <v>LH Uni-Fix Dry Verge Unit</v>
      </c>
      <c r="D37" s="31">
        <v>8</v>
      </c>
      <c r="E37" s="32">
        <f>MatP8857C0Price</f>
        <v>1.1000000000000001</v>
      </c>
      <c r="F37" s="33" t="str">
        <f>MatP8857C0PerText</f>
        <v>Each</v>
      </c>
      <c r="G37" s="32">
        <f t="shared" si="0"/>
        <v>8.8000000000000007</v>
      </c>
    </row>
    <row r="38" spans="1:7" x14ac:dyDescent="0.2">
      <c r="A38" s="24" t="str">
        <f>MatP8869C0Colour</f>
        <v>Not Specified</v>
      </c>
      <c r="B38" s="24" t="str">
        <f>IF(MatP8869C0Code=0,"",MatP8869C0Code)</f>
        <v/>
      </c>
      <c r="C38" s="24" t="str">
        <f>MatP8869C0Desc</f>
        <v>RH Uni-Fix Dry Verge Unit</v>
      </c>
      <c r="D38" s="31">
        <v>8</v>
      </c>
      <c r="E38" s="32">
        <f>MatP8869C0Price</f>
        <v>1.1000000000000001</v>
      </c>
      <c r="F38" s="33" t="str">
        <f>MatP8869C0PerText</f>
        <v>Each</v>
      </c>
      <c r="G38" s="32">
        <f t="shared" si="0"/>
        <v>8.8000000000000007</v>
      </c>
    </row>
    <row r="39" spans="1:7" x14ac:dyDescent="0.2">
      <c r="A39" s="24" t="str">
        <f>MatP8830C20Colour</f>
        <v>Not Specified</v>
      </c>
      <c r="B39" s="24" t="str">
        <f>IF(MatP8830C20Code=0,"",MatP8830C20Code)</f>
        <v/>
      </c>
      <c r="C39" s="24" t="str">
        <f>MatP8830C20Desc</f>
        <v>Dry Verge Starter Unit</v>
      </c>
      <c r="D39" s="31">
        <v>2</v>
      </c>
      <c r="E39" s="32">
        <f>MatP8830C20Price</f>
        <v>1.51</v>
      </c>
      <c r="F39" s="33" t="str">
        <f>MatP8830C20PerText</f>
        <v>Each</v>
      </c>
      <c r="G39" s="32">
        <f t="shared" si="0"/>
        <v>3.02</v>
      </c>
    </row>
    <row r="40" spans="1:7" x14ac:dyDescent="0.2">
      <c r="A40" s="24" t="str">
        <f>MatP8821C20Colour</f>
        <v>Not Specified</v>
      </c>
      <c r="B40" s="24" t="str">
        <f>IF(MatP8821C20Code=0,"",MatP8821C20Code)</f>
        <v/>
      </c>
      <c r="C40" s="24" t="str">
        <f>MatP8821C20Desc</f>
        <v>25mm Over Fascia Vent (1m)</v>
      </c>
      <c r="D40" s="31">
        <v>3</v>
      </c>
      <c r="E40" s="32">
        <f>MatP8821C20Price</f>
        <v>1.9</v>
      </c>
      <c r="F40" s="33" t="str">
        <f>MatP8821C20PerText</f>
        <v>Each</v>
      </c>
      <c r="G40" s="32">
        <f t="shared" si="0"/>
        <v>5.6999999999999993</v>
      </c>
    </row>
    <row r="41" spans="1:7" x14ac:dyDescent="0.2">
      <c r="A41" s="24" t="str">
        <f>MatP8281C0Colour</f>
        <v>Not Specified</v>
      </c>
      <c r="B41" s="24" t="str">
        <f>IF(MatP8281C0Code=0,"",MatP8281C0Code)</f>
        <v/>
      </c>
      <c r="C41" s="24" t="str">
        <f>MatP8281C0Desc</f>
        <v>Generic Eave Insulation (1m)</v>
      </c>
      <c r="D41" s="31">
        <v>3</v>
      </c>
      <c r="E41" s="32">
        <f>MatP8281C0Price</f>
        <v>5</v>
      </c>
      <c r="F41" s="33" t="str">
        <f>MatP8281C0PerText</f>
        <v>Each</v>
      </c>
      <c r="G41" s="32">
        <f t="shared" si="0"/>
        <v>15</v>
      </c>
    </row>
    <row r="42" spans="1:7" x14ac:dyDescent="0.2">
      <c r="A42" s="24" t="str">
        <f>MatP8866C20Colour</f>
        <v>Not Specified</v>
      </c>
      <c r="B42" s="24" t="str">
        <f>IF(MatP8866C20Code=0,"",MatP8866C20Code)</f>
        <v/>
      </c>
      <c r="C42" s="24" t="str">
        <f>MatP8866C20Desc</f>
        <v>Rafter Roll (6m x 600mm)</v>
      </c>
      <c r="D42" s="31">
        <v>1</v>
      </c>
      <c r="E42" s="32">
        <f>MatP8866C20Price</f>
        <v>9.5</v>
      </c>
      <c r="F42" s="33" t="str">
        <f>MatP8866C20PerText</f>
        <v>Each</v>
      </c>
      <c r="G42" s="32">
        <f t="shared" si="0"/>
        <v>9.5</v>
      </c>
    </row>
    <row r="43" spans="1:7" x14ac:dyDescent="0.2">
      <c r="A43" s="24" t="str">
        <f>MatP8874C20Colour</f>
        <v>Not Specified</v>
      </c>
      <c r="B43" s="24" t="str">
        <f>IF(MatP8874C20Code=0,"",MatP8874C20Code)</f>
        <v/>
      </c>
      <c r="C43" s="24" t="str">
        <f>MatP8874C20Desc</f>
        <v>Underlay Support Tray (1.5m)</v>
      </c>
      <c r="D43" s="31">
        <v>2</v>
      </c>
      <c r="E43" s="32">
        <f>MatP8874C20Price</f>
        <v>1.5</v>
      </c>
      <c r="F43" s="33" t="str">
        <f>MatP8874C20PerText</f>
        <v>Each</v>
      </c>
      <c r="G43" s="32">
        <f t="shared" si="0"/>
        <v>3</v>
      </c>
    </row>
    <row r="44" spans="1:7" x14ac:dyDescent="0.2">
      <c r="A44" s="24" t="str">
        <f>MatP8872C539Colour</f>
        <v>Not Specified</v>
      </c>
      <c r="B44" s="24" t="str">
        <f>IF(MatP8872C539Code=0,"",MatP8872C539Code)</f>
        <v/>
      </c>
      <c r="C44" s="24" t="str">
        <f>MatP8872C539Desc</f>
        <v>Sidelock Tile Clips (TLE)</v>
      </c>
      <c r="D44" s="31">
        <v>6</v>
      </c>
      <c r="E44" s="32">
        <f>MatP8872C539Price</f>
        <v>7.0000000000000007E-2</v>
      </c>
      <c r="F44" s="33" t="str">
        <f>MatP8872C539PerText</f>
        <v>Each</v>
      </c>
      <c r="G44" s="32">
        <f t="shared" si="0"/>
        <v>0.42000000000000004</v>
      </c>
    </row>
    <row r="45" spans="1:7" x14ac:dyDescent="0.2">
      <c r="A45" s="24" t="str">
        <f>MatP8826C539Colour</f>
        <v>Not Specified</v>
      </c>
      <c r="B45" s="24" t="str">
        <f>IF(MatP8826C539Code=0,"",MatP8826C539Code)</f>
        <v/>
      </c>
      <c r="C45" s="24" t="str">
        <f>MatP8826C539Desc</f>
        <v>Metal Batten End Clips</v>
      </c>
      <c r="D45" s="31">
        <v>8</v>
      </c>
      <c r="E45" s="32">
        <f>MatP8826C539Price</f>
        <v>0.28000000000000003</v>
      </c>
      <c r="F45" s="33" t="str">
        <f>MatP8826C539PerText</f>
        <v>Each</v>
      </c>
      <c r="G45" s="32">
        <f t="shared" si="0"/>
        <v>2.2400000000000002</v>
      </c>
    </row>
    <row r="46" spans="1:7" x14ac:dyDescent="0.2">
      <c r="A46" s="24" t="str">
        <f>MatP8831C539Colour</f>
        <v>Not Specified</v>
      </c>
      <c r="B46" s="24" t="str">
        <f>IF(MatP8831C539Code=0,"",MatP8831C539Code)</f>
        <v/>
      </c>
      <c r="C46" s="24" t="str">
        <f>MatP8831C539Desc</f>
        <v>Eave Clip</v>
      </c>
      <c r="D46" s="31">
        <v>10</v>
      </c>
      <c r="E46" s="32">
        <f>MatP8831C539Price</f>
        <v>0.1</v>
      </c>
      <c r="F46" s="33" t="str">
        <f>MatP8831C539PerText</f>
        <v>Each</v>
      </c>
      <c r="G46" s="32">
        <f t="shared" si="0"/>
        <v>1</v>
      </c>
    </row>
    <row r="47" spans="1:7" x14ac:dyDescent="0.2">
      <c r="A47" s="24" t="str">
        <f>MatP9318C0Colour</f>
        <v>Not Specified</v>
      </c>
      <c r="B47" s="24" t="str">
        <f>IF(MatP9318C0Code=0,"",MatP9318C0Code)</f>
        <v/>
      </c>
      <c r="C47" s="24" t="str">
        <f>MatP9318C0Desc</f>
        <v>45mm x 3.35mm Aluminium Nails</v>
      </c>
      <c r="D47" s="31">
        <v>1</v>
      </c>
      <c r="E47" s="32">
        <f>MatP9318C0Price</f>
        <v>7.28</v>
      </c>
      <c r="F47" s="33" t="str">
        <f>MatP9318C0PerText</f>
        <v>Kg</v>
      </c>
      <c r="G47" s="32">
        <f t="shared" si="0"/>
        <v>7.28</v>
      </c>
    </row>
    <row r="48" spans="1:7" x14ac:dyDescent="0.2">
      <c r="A48" s="24" t="str">
        <f>MatP9100C0Colour</f>
        <v>Not Specified</v>
      </c>
      <c r="B48" s="24" t="str">
        <f>IF(MatP9100C0Code=0,"",MatP9100C0Code)</f>
        <v/>
      </c>
      <c r="C48" s="24" t="str">
        <f>MatP9100C0Desc</f>
        <v>Batten Nails - 65mm x 3.35mm Galvanised</v>
      </c>
      <c r="D48" s="31">
        <v>1</v>
      </c>
      <c r="E48" s="32">
        <f>MatP9100C0Price</f>
        <v>4.5</v>
      </c>
      <c r="F48" s="33" t="str">
        <f>MatP9100C0PerText</f>
        <v>Kg</v>
      </c>
      <c r="G48" s="32">
        <f t="shared" si="0"/>
        <v>4.5</v>
      </c>
    </row>
    <row r="49" spans="1:7" x14ac:dyDescent="0.2">
      <c r="A49" s="24" t="str">
        <f>MatP9066C92Colour</f>
        <v>Not Specified</v>
      </c>
      <c r="B49" s="24" t="str">
        <f>IF(MatP9066C92Code=0,"",MatP9066C92Code)</f>
        <v/>
      </c>
      <c r="C49" s="24" t="str">
        <f>MatP9066C92Desc</f>
        <v>Lead Code 4 - 300mm (6m)</v>
      </c>
      <c r="D49" s="31">
        <v>6</v>
      </c>
      <c r="E49" s="32">
        <f>MatP9066C92Price</f>
        <v>15.21</v>
      </c>
      <c r="F49" s="33" t="str">
        <f>MatP9066C92PerText</f>
        <v>Metre</v>
      </c>
      <c r="G49" s="32">
        <f t="shared" si="0"/>
        <v>91.26</v>
      </c>
    </row>
    <row r="50" spans="1:7" x14ac:dyDescent="0.2">
      <c r="D50" s="31"/>
      <c r="E50" s="32"/>
      <c r="F50" s="33"/>
      <c r="G50" s="32"/>
    </row>
    <row r="51" spans="1:7" x14ac:dyDescent="0.2">
      <c r="F51" s="34" t="s">
        <v>5</v>
      </c>
      <c r="G51" s="35">
        <f>SUM(G34:G50)</f>
        <v>229.26999999999998</v>
      </c>
    </row>
    <row r="52" spans="1:7" x14ac:dyDescent="0.2">
      <c r="G52" s="34"/>
    </row>
    <row r="53" spans="1:7" x14ac:dyDescent="0.2">
      <c r="A53" s="25" t="s">
        <v>15</v>
      </c>
      <c r="B53" s="25"/>
      <c r="D53" s="25"/>
      <c r="E53" s="25"/>
      <c r="F53" s="25"/>
      <c r="G53" s="25"/>
    </row>
    <row r="55" spans="1:7" x14ac:dyDescent="0.2">
      <c r="A55" s="102" t="s">
        <v>6</v>
      </c>
      <c r="B55" s="102"/>
      <c r="C55" s="102"/>
      <c r="D55" s="34" t="s">
        <v>7</v>
      </c>
      <c r="E55" s="34" t="s">
        <v>9</v>
      </c>
      <c r="F55" s="34" t="s">
        <v>8</v>
      </c>
      <c r="G55" s="34" t="s">
        <v>16</v>
      </c>
    </row>
    <row r="56" spans="1:7" x14ac:dyDescent="0.2">
      <c r="A56" s="103" t="str">
        <f>LabP8815R6L1G1Desc</f>
        <v>Main Area</v>
      </c>
      <c r="B56" s="103"/>
      <c r="C56" s="103"/>
      <c r="D56" s="36">
        <f>LabP8815R6L1G1Rate</f>
        <v>9</v>
      </c>
      <c r="E56" s="37">
        <f>'HNB-SMI-Porch (Lean to)(1)'!Area</f>
        <v>3.51</v>
      </c>
      <c r="F56" s="27" t="str">
        <f xml:space="preserve"> "" &amp; LabP8815R6L1G1Per</f>
        <v>m²</v>
      </c>
      <c r="G56" s="36">
        <f>D56 * E56</f>
        <v>31.589999999999996</v>
      </c>
    </row>
    <row r="57" spans="1:7" x14ac:dyDescent="0.2">
      <c r="A57" s="24" t="str">
        <f>LabP8815R0L1G2Desc</f>
        <v>Eave</v>
      </c>
      <c r="D57" s="36">
        <f>LabP8815R0L1G2Rate</f>
        <v>2.5</v>
      </c>
      <c r="E57" s="37">
        <f>'HNB-SMI-Porch (Lean to)(1)'!Eave</f>
        <v>3</v>
      </c>
      <c r="F57" s="27" t="str">
        <f xml:space="preserve"> "" &amp; LabP8815R0L1G2Per</f>
        <v>m</v>
      </c>
      <c r="G57" s="36">
        <f>D57 * E57</f>
        <v>7.5</v>
      </c>
    </row>
    <row r="58" spans="1:7" x14ac:dyDescent="0.2">
      <c r="A58" s="24" t="str">
        <f>LabP8815R0L1G3Desc</f>
        <v>Verge</v>
      </c>
      <c r="D58" s="36">
        <f>LabP8815R0L1G3Rate</f>
        <v>2.5</v>
      </c>
      <c r="E58" s="37">
        <f>LeftVerge+RightVerge</f>
        <v>2.34</v>
      </c>
      <c r="F58" s="27" t="str">
        <f xml:space="preserve"> "" &amp; LabP8815R0L1G3Per</f>
        <v>m</v>
      </c>
      <c r="G58" s="36">
        <f>D58 * E58</f>
        <v>5.85</v>
      </c>
    </row>
    <row r="59" spans="1:7" x14ac:dyDescent="0.2">
      <c r="A59" s="24" t="str">
        <f>LabP8815R15L1G243Desc</f>
        <v>Apron Flashing (Code 4)</v>
      </c>
      <c r="D59" s="36">
        <f>LabP8815R15L1G243Rate</f>
        <v>15</v>
      </c>
      <c r="E59" s="37">
        <v>3</v>
      </c>
      <c r="F59" s="27" t="str">
        <f xml:space="preserve"> "" &amp; LabP8815R15L1G243Per</f>
        <v>m</v>
      </c>
      <c r="G59" s="36">
        <f>D59 * E59</f>
        <v>45</v>
      </c>
    </row>
    <row r="60" spans="1:7" x14ac:dyDescent="0.2">
      <c r="A60" s="24" t="str">
        <f>LabP8815R150LabLabourforPorchesDesc</f>
        <v>Labour for Porches</v>
      </c>
      <c r="D60" s="36">
        <f>LabP8815R150LabLabourforPorchesRate</f>
        <v>150</v>
      </c>
      <c r="E60" s="37">
        <v>1</v>
      </c>
      <c r="F60" s="27" t="str">
        <f xml:space="preserve"> "" &amp; LabP8815R150LabLabourforPorchesPer</f>
        <v/>
      </c>
      <c r="G60" s="36">
        <f>D60 * E60</f>
        <v>150</v>
      </c>
    </row>
    <row r="61" spans="1:7" x14ac:dyDescent="0.2">
      <c r="D61" s="36"/>
      <c r="E61" s="37"/>
      <c r="F61" s="27"/>
      <c r="G61" s="36"/>
    </row>
    <row r="62" spans="1:7" x14ac:dyDescent="0.2">
      <c r="A62" s="103"/>
      <c r="B62" s="103"/>
      <c r="C62" s="103"/>
      <c r="D62" s="36"/>
      <c r="E62" s="37"/>
      <c r="G62" s="36"/>
    </row>
    <row r="63" spans="1:7" x14ac:dyDescent="0.2">
      <c r="F63" s="34" t="s">
        <v>5</v>
      </c>
      <c r="G63" s="35">
        <f>SUM(G56:G62)</f>
        <v>239.94</v>
      </c>
    </row>
    <row r="67" spans="1:3" x14ac:dyDescent="0.2">
      <c r="A67" s="34"/>
      <c r="B67" s="38"/>
    </row>
    <row r="69" spans="1:3" x14ac:dyDescent="0.2">
      <c r="A69" s="34"/>
      <c r="B69" s="38"/>
    </row>
    <row r="71" spans="1:3" x14ac:dyDescent="0.2">
      <c r="A71" s="34"/>
      <c r="B71" s="38"/>
    </row>
    <row r="73" spans="1:3" x14ac:dyDescent="0.2">
      <c r="A73" s="34"/>
      <c r="B73" s="38"/>
    </row>
    <row r="76" spans="1:3" x14ac:dyDescent="0.2">
      <c r="A76" s="34"/>
      <c r="B76" s="38"/>
      <c r="C76" s="39"/>
    </row>
    <row r="78" spans="1:3" x14ac:dyDescent="0.2">
      <c r="A78" s="34"/>
      <c r="B78" s="38"/>
    </row>
    <row r="80" spans="1:3" x14ac:dyDescent="0.2">
      <c r="A80" s="34"/>
      <c r="B80" s="38"/>
      <c r="C80" s="39"/>
    </row>
    <row r="82" spans="1:3" x14ac:dyDescent="0.2">
      <c r="A82" s="34"/>
      <c r="B82" s="38"/>
    </row>
    <row r="84" spans="1:3" x14ac:dyDescent="0.2">
      <c r="A84" s="34"/>
      <c r="B84" s="38"/>
    </row>
    <row r="87" spans="1:3" x14ac:dyDescent="0.2">
      <c r="A87" s="34"/>
      <c r="B87" s="38"/>
    </row>
    <row r="89" spans="1:3" x14ac:dyDescent="0.2">
      <c r="A89" s="34"/>
      <c r="B89" s="38"/>
    </row>
    <row r="91" spans="1:3" x14ac:dyDescent="0.2">
      <c r="A91" s="34"/>
      <c r="B91" s="38"/>
      <c r="C91" s="39"/>
    </row>
    <row r="94" spans="1:3" x14ac:dyDescent="0.2">
      <c r="A94" s="34"/>
      <c r="B94" s="40"/>
      <c r="C94" s="23"/>
    </row>
    <row r="97" spans="1:2" x14ac:dyDescent="0.2">
      <c r="A97" s="39"/>
      <c r="B97" s="41"/>
    </row>
  </sheetData>
  <mergeCells count="5">
    <mergeCell ref="B4:F4"/>
    <mergeCell ref="B5:F5"/>
    <mergeCell ref="A55:C55"/>
    <mergeCell ref="A56:C56"/>
    <mergeCell ref="A62:C62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3111F-BB20-4DC0-9C8E-E8AF5D27B16D}">
  <dimension ref="A1:G105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180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139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70.06</v>
      </c>
      <c r="C9" s="23"/>
      <c r="D9" s="26"/>
    </row>
    <row r="10" spans="1:7" x14ac:dyDescent="0.2">
      <c r="A10" s="23" t="s">
        <v>114</v>
      </c>
      <c r="B10" s="24">
        <v>10.6</v>
      </c>
      <c r="C10" s="23"/>
      <c r="D10" s="26"/>
    </row>
    <row r="11" spans="1:7" x14ac:dyDescent="0.2">
      <c r="A11" s="23" t="s">
        <v>115</v>
      </c>
      <c r="B11" s="24">
        <v>12.77</v>
      </c>
      <c r="C11" s="23"/>
      <c r="D11" s="26"/>
    </row>
    <row r="12" spans="1:7" x14ac:dyDescent="0.2">
      <c r="A12" s="23" t="s">
        <v>116</v>
      </c>
      <c r="B12" s="24">
        <v>12.77</v>
      </c>
      <c r="C12" s="23"/>
      <c r="D12" s="26"/>
    </row>
    <row r="13" spans="1:7" x14ac:dyDescent="0.2">
      <c r="A13" s="23" t="s">
        <v>158</v>
      </c>
      <c r="B13" s="24">
        <v>8.5</v>
      </c>
      <c r="C13" s="23"/>
      <c r="D13" s="26"/>
    </row>
    <row r="14" spans="1:7" x14ac:dyDescent="0.2">
      <c r="A14" s="23" t="s">
        <v>117</v>
      </c>
      <c r="B14" s="24">
        <v>10.58</v>
      </c>
      <c r="C14" s="23"/>
      <c r="D14" s="26"/>
    </row>
    <row r="15" spans="1:7" x14ac:dyDescent="0.2">
      <c r="A15" s="23" t="s">
        <v>119</v>
      </c>
      <c r="B15" s="24">
        <v>600</v>
      </c>
      <c r="C15" s="23"/>
      <c r="D15" s="26"/>
    </row>
    <row r="16" spans="1:7" x14ac:dyDescent="0.2">
      <c r="A16" s="23" t="s">
        <v>120</v>
      </c>
      <c r="B16" s="24" t="s">
        <v>179</v>
      </c>
      <c r="C16" s="23"/>
      <c r="D16" s="26"/>
    </row>
    <row r="17" spans="1:7" x14ac:dyDescent="0.2">
      <c r="A17" s="23"/>
      <c r="C17" s="23"/>
      <c r="D17" s="26"/>
    </row>
    <row r="18" spans="1:7" x14ac:dyDescent="0.2">
      <c r="A18" s="23"/>
      <c r="B18" s="27"/>
      <c r="C18" s="23"/>
      <c r="D18" s="26"/>
    </row>
    <row r="19" spans="1:7" x14ac:dyDescent="0.2">
      <c r="A19" s="28" t="s">
        <v>10</v>
      </c>
      <c r="B19" s="28"/>
      <c r="C19" s="28"/>
      <c r="D19" s="28"/>
      <c r="E19" s="28"/>
      <c r="F19" s="28"/>
      <c r="G19" s="28"/>
    </row>
    <row r="20" spans="1:7" x14ac:dyDescent="0.2">
      <c r="A20" s="28"/>
      <c r="B20" s="28"/>
      <c r="C20" s="28"/>
      <c r="D20" s="28"/>
      <c r="E20" s="28"/>
      <c r="F20" s="28"/>
      <c r="G20" s="28"/>
    </row>
    <row r="21" spans="1:7" x14ac:dyDescent="0.2">
      <c r="A21" s="29" t="s">
        <v>121</v>
      </c>
      <c r="B21" s="24" t="s">
        <v>122</v>
      </c>
      <c r="C21" s="29"/>
      <c r="D21" s="29"/>
      <c r="E21" s="29"/>
      <c r="F21" s="29"/>
    </row>
    <row r="22" spans="1:7" x14ac:dyDescent="0.2">
      <c r="A22" s="29" t="s">
        <v>123</v>
      </c>
      <c r="B22" s="24" t="s">
        <v>124</v>
      </c>
      <c r="C22" s="29"/>
      <c r="D22" s="29"/>
      <c r="E22" s="29"/>
      <c r="F22" s="29"/>
    </row>
    <row r="23" spans="1:7" x14ac:dyDescent="0.2">
      <c r="A23" s="29"/>
      <c r="B23" s="24" t="s">
        <v>125</v>
      </c>
      <c r="C23" s="29"/>
      <c r="D23" s="29"/>
      <c r="E23" s="29"/>
      <c r="F23" s="29"/>
    </row>
    <row r="24" spans="1:7" x14ac:dyDescent="0.2">
      <c r="A24" s="29" t="s">
        <v>126</v>
      </c>
      <c r="B24" s="24" t="s">
        <v>127</v>
      </c>
      <c r="C24" s="29"/>
      <c r="D24" s="29"/>
      <c r="E24" s="29"/>
      <c r="F24" s="29"/>
    </row>
    <row r="25" spans="1:7" x14ac:dyDescent="0.2">
      <c r="A25" s="29"/>
      <c r="B25" s="24" t="s">
        <v>128</v>
      </c>
      <c r="C25" s="29"/>
      <c r="D25" s="29"/>
      <c r="E25" s="29"/>
      <c r="F25" s="29"/>
    </row>
    <row r="26" spans="1:7" x14ac:dyDescent="0.2">
      <c r="A26" s="29" t="s">
        <v>129</v>
      </c>
      <c r="B26" s="24" t="s">
        <v>130</v>
      </c>
      <c r="C26" s="29"/>
      <c r="D26" s="29"/>
      <c r="E26" s="29"/>
      <c r="F26" s="29"/>
    </row>
    <row r="27" spans="1:7" x14ac:dyDescent="0.2">
      <c r="A27" s="29"/>
      <c r="B27" s="24" t="s">
        <v>159</v>
      </c>
      <c r="C27" s="29"/>
      <c r="D27" s="29"/>
      <c r="E27" s="29"/>
      <c r="F27" s="29"/>
    </row>
    <row r="28" spans="1:7" x14ac:dyDescent="0.2">
      <c r="A28" s="29" t="s">
        <v>160</v>
      </c>
      <c r="B28" s="24" t="s">
        <v>161</v>
      </c>
      <c r="C28" s="29"/>
      <c r="D28" s="29"/>
      <c r="E28" s="29"/>
      <c r="F28" s="29"/>
    </row>
    <row r="29" spans="1:7" x14ac:dyDescent="0.2">
      <c r="A29" s="29" t="s">
        <v>132</v>
      </c>
      <c r="B29" s="24" t="s">
        <v>133</v>
      </c>
      <c r="C29" s="29"/>
      <c r="D29" s="29"/>
      <c r="E29" s="29"/>
      <c r="F29" s="29"/>
    </row>
    <row r="30" spans="1:7" x14ac:dyDescent="0.2">
      <c r="A30" s="29" t="s">
        <v>134</v>
      </c>
      <c r="B30" s="24" t="s">
        <v>135</v>
      </c>
      <c r="C30" s="29"/>
      <c r="D30" s="29"/>
      <c r="E30" s="29"/>
      <c r="F30" s="29"/>
    </row>
    <row r="31" spans="1:7" x14ac:dyDescent="0.2">
      <c r="A31" s="29" t="s">
        <v>136</v>
      </c>
      <c r="B31" s="24" t="s">
        <v>137</v>
      </c>
      <c r="C31" s="29"/>
      <c r="D31" s="29"/>
      <c r="E31" s="29"/>
      <c r="F31" s="29"/>
    </row>
    <row r="32" spans="1:7" x14ac:dyDescent="0.2">
      <c r="A32" s="29"/>
      <c r="B32" s="24" t="s">
        <v>162</v>
      </c>
      <c r="C32" s="29"/>
      <c r="D32" s="29"/>
      <c r="E32" s="29"/>
      <c r="F32" s="29"/>
    </row>
    <row r="33" spans="1:7" x14ac:dyDescent="0.2">
      <c r="A33" s="29"/>
      <c r="C33" s="29"/>
      <c r="D33" s="29"/>
      <c r="E33" s="29"/>
      <c r="F33" s="29"/>
    </row>
    <row r="34" spans="1:7" x14ac:dyDescent="0.2">
      <c r="A34" s="29"/>
      <c r="C34" s="29"/>
      <c r="D34" s="29"/>
      <c r="E34" s="29"/>
      <c r="F34" s="29"/>
    </row>
    <row r="35" spans="1:7" x14ac:dyDescent="0.2">
      <c r="A35" s="25" t="s">
        <v>14</v>
      </c>
      <c r="B35" s="25"/>
      <c r="C35" s="25"/>
      <c r="D35" s="25"/>
      <c r="E35" s="25"/>
      <c r="F35" s="25"/>
      <c r="G35" s="25"/>
    </row>
    <row r="37" spans="1:7" s="29" customFormat="1" x14ac:dyDescent="0.2">
      <c r="A37" s="29" t="s">
        <v>25</v>
      </c>
      <c r="B37" s="29" t="s">
        <v>38</v>
      </c>
      <c r="C37" s="29" t="s">
        <v>2</v>
      </c>
      <c r="D37" s="30" t="s">
        <v>9</v>
      </c>
      <c r="E37" s="30" t="s">
        <v>3</v>
      </c>
      <c r="F37" s="30" t="s">
        <v>4</v>
      </c>
      <c r="G37" s="30" t="s">
        <v>16</v>
      </c>
    </row>
    <row r="38" spans="1:7" x14ac:dyDescent="0.2">
      <c r="A38" s="24" t="str">
        <f>MatP8815C0Colour</f>
        <v>Not Specified</v>
      </c>
      <c r="B38" s="24" t="str">
        <f>IF(MatP8815C0Code=0,"",MatP8815C0Code)</f>
        <v/>
      </c>
      <c r="C38" s="24" t="str">
        <f>MatP8815C0Desc</f>
        <v>TLE Tile</v>
      </c>
      <c r="D38" s="31">
        <v>700</v>
      </c>
      <c r="E38" s="32">
        <f>MatP8815C0Price</f>
        <v>1.2</v>
      </c>
      <c r="F38" s="33" t="str">
        <f>MatP8815C0PerText</f>
        <v>Each</v>
      </c>
      <c r="G38" s="32">
        <f t="shared" ref="G38:G57" si="0">D38 * E38</f>
        <v>840</v>
      </c>
    </row>
    <row r="39" spans="1:7" x14ac:dyDescent="0.2">
      <c r="A39" s="24" t="str">
        <f>MatP8870C0Colour</f>
        <v>Not Specified</v>
      </c>
      <c r="B39" s="24" t="str">
        <f>IF(MatP8870C0Code=0,"",MatP8870C0Code)</f>
        <v/>
      </c>
      <c r="C39" s="24" t="str">
        <f>MatP8870C0Desc</f>
        <v>Ridge Tile (450mm)</v>
      </c>
      <c r="D39" s="31">
        <v>25</v>
      </c>
      <c r="E39" s="32">
        <f>MatP8870C0Price</f>
        <v>3.64</v>
      </c>
      <c r="F39" s="33" t="str">
        <f>MatP8870C0PerText</f>
        <v>Each</v>
      </c>
      <c r="G39" s="32">
        <f t="shared" si="0"/>
        <v>91</v>
      </c>
    </row>
    <row r="40" spans="1:7" x14ac:dyDescent="0.2">
      <c r="A40" s="24" t="str">
        <f>MatP10135C0Colour</f>
        <v>Not Specified</v>
      </c>
      <c r="B40" s="24" t="str">
        <f>IF(MatP10135C0Code=0,"",MatP10135C0Code)</f>
        <v/>
      </c>
      <c r="C40" s="24" t="str">
        <f>MatP10135C0Desc</f>
        <v>VP300 Vapour Permeable Underlay (50m x 1m)</v>
      </c>
      <c r="D40" s="31">
        <v>3.0000000298023224</v>
      </c>
      <c r="E40" s="32">
        <f>MatP10135C0Price</f>
        <v>35</v>
      </c>
      <c r="F40" s="33" t="str">
        <f>MatP10135C0PerText</f>
        <v>Roll</v>
      </c>
      <c r="G40" s="32">
        <f t="shared" si="0"/>
        <v>105.00000104308128</v>
      </c>
    </row>
    <row r="41" spans="1:7" x14ac:dyDescent="0.2">
      <c r="A41" s="24" t="str">
        <f>MatP9008C0Colour</f>
        <v>Not Specified</v>
      </c>
      <c r="B41" s="24" t="str">
        <f>IF(MatP9008C0Code=0,"",MatP9008C0Code)</f>
        <v/>
      </c>
      <c r="C41" s="24" t="str">
        <f>MatP9008C0Desc</f>
        <v>Battens (50mm x 25mm)</v>
      </c>
      <c r="D41" s="31">
        <v>266</v>
      </c>
      <c r="E41" s="32">
        <f>MatP9008C0Price</f>
        <v>0.9</v>
      </c>
      <c r="F41" s="33" t="str">
        <f>MatP9008C0PerText</f>
        <v>Metre</v>
      </c>
      <c r="G41" s="32">
        <f t="shared" si="0"/>
        <v>239.4</v>
      </c>
    </row>
    <row r="42" spans="1:7" x14ac:dyDescent="0.2">
      <c r="A42" s="24" t="str">
        <f>MatP8879C15Colour</f>
        <v>Not Specified</v>
      </c>
      <c r="B42" s="24" t="str">
        <f>IF(MatP8879C15Code=0,"",MatP8879C15Code)</f>
        <v/>
      </c>
      <c r="C42" s="24" t="str">
        <f>MatP8879C15Desc</f>
        <v>Universal Dry Ridge/Hip System (6m)</v>
      </c>
      <c r="D42" s="31">
        <v>2</v>
      </c>
      <c r="E42" s="32">
        <f>MatP8879C15Price</f>
        <v>28.09</v>
      </c>
      <c r="F42" s="33" t="str">
        <f>MatP8879C15PerText</f>
        <v>Pack</v>
      </c>
      <c r="G42" s="32">
        <f t="shared" si="0"/>
        <v>56.18</v>
      </c>
    </row>
    <row r="43" spans="1:7" x14ac:dyDescent="0.2">
      <c r="A43" s="24" t="str">
        <f>MatP8857C0Colour</f>
        <v>Not Specified</v>
      </c>
      <c r="B43" s="24" t="str">
        <f>IF(MatP8857C0Code=0,"",MatP8857C0Code)</f>
        <v/>
      </c>
      <c r="C43" s="24" t="str">
        <f>MatP8857C0Desc</f>
        <v>LH Uni-Fix Dry Verge Unit</v>
      </c>
      <c r="D43" s="31">
        <v>76</v>
      </c>
      <c r="E43" s="32">
        <f>MatP8857C0Price</f>
        <v>1.1000000000000001</v>
      </c>
      <c r="F43" s="33" t="str">
        <f>MatP8857C0PerText</f>
        <v>Each</v>
      </c>
      <c r="G43" s="32">
        <f t="shared" si="0"/>
        <v>83.600000000000009</v>
      </c>
    </row>
    <row r="44" spans="1:7" x14ac:dyDescent="0.2">
      <c r="A44" s="24" t="str">
        <f>MatP8869C0Colour</f>
        <v>Not Specified</v>
      </c>
      <c r="B44" s="24" t="str">
        <f>IF(MatP8869C0Code=0,"",MatP8869C0Code)</f>
        <v/>
      </c>
      <c r="C44" s="24" t="str">
        <f>MatP8869C0Desc</f>
        <v>RH Uni-Fix Dry Verge Unit</v>
      </c>
      <c r="D44" s="31">
        <v>76</v>
      </c>
      <c r="E44" s="32">
        <f>MatP8869C0Price</f>
        <v>1.1000000000000001</v>
      </c>
      <c r="F44" s="33" t="str">
        <f>MatP8869C0PerText</f>
        <v>Each</v>
      </c>
      <c r="G44" s="32">
        <f t="shared" si="0"/>
        <v>83.600000000000009</v>
      </c>
    </row>
    <row r="45" spans="1:7" x14ac:dyDescent="0.2">
      <c r="A45" s="24" t="str">
        <f>MatP8877C0Colour</f>
        <v>Not Specified</v>
      </c>
      <c r="B45" s="24" t="str">
        <f>IF(MatP8877C0Code=0,"",MatP8877C0Code)</f>
        <v/>
      </c>
      <c r="C45" s="24" t="str">
        <f>MatP8877C0Desc</f>
        <v>Uni-Fix Universal Ridge End Cap</v>
      </c>
      <c r="D45" s="31">
        <v>3</v>
      </c>
      <c r="E45" s="32">
        <f>MatP8877C0Price</f>
        <v>1.6</v>
      </c>
      <c r="F45" s="33" t="str">
        <f>MatP8877C0PerText</f>
        <v>Each</v>
      </c>
      <c r="G45" s="32">
        <f t="shared" si="0"/>
        <v>4.8000000000000007</v>
      </c>
    </row>
    <row r="46" spans="1:7" x14ac:dyDescent="0.2">
      <c r="A46" s="24" t="str">
        <f>MatP8830C20Colour</f>
        <v>Not Specified</v>
      </c>
      <c r="B46" s="24" t="str">
        <f>IF(MatP8830C20Code=0,"",MatP8830C20Code)</f>
        <v/>
      </c>
      <c r="C46" s="24" t="str">
        <f>MatP8830C20Desc</f>
        <v>Dry Verge Starter Unit</v>
      </c>
      <c r="D46" s="31">
        <v>5</v>
      </c>
      <c r="E46" s="32">
        <f>MatP8830C20Price</f>
        <v>1.51</v>
      </c>
      <c r="F46" s="33" t="str">
        <f>MatP8830C20PerText</f>
        <v>Each</v>
      </c>
      <c r="G46" s="32">
        <f t="shared" si="0"/>
        <v>7.55</v>
      </c>
    </row>
    <row r="47" spans="1:7" x14ac:dyDescent="0.2">
      <c r="A47" s="24" t="str">
        <f>MatP8820C20Colour</f>
        <v>Not Specified</v>
      </c>
      <c r="B47" s="24" t="str">
        <f>IF(MatP8820C20Code=0,"",MatP8820C20Code)</f>
        <v/>
      </c>
      <c r="C47" s="24" t="str">
        <f>MatP8820C20Desc</f>
        <v>10mm Over Fascia Vent (1m)</v>
      </c>
      <c r="D47" s="31">
        <v>11</v>
      </c>
      <c r="E47" s="32">
        <f>MatP8820C20Price</f>
        <v>1.7</v>
      </c>
      <c r="F47" s="33" t="str">
        <f>MatP8820C20PerText</f>
        <v>Each</v>
      </c>
      <c r="G47" s="32">
        <f t="shared" si="0"/>
        <v>18.7</v>
      </c>
    </row>
    <row r="48" spans="1:7" x14ac:dyDescent="0.2">
      <c r="A48" s="24" t="str">
        <f>MatP8281C0Colour</f>
        <v>Not Specified</v>
      </c>
      <c r="B48" s="24" t="str">
        <f>IF(MatP8281C0Code=0,"",MatP8281C0Code)</f>
        <v/>
      </c>
      <c r="C48" s="24" t="str">
        <f>MatP8281C0Desc</f>
        <v>Generic Eave Insulation (1m)</v>
      </c>
      <c r="D48" s="31">
        <v>11</v>
      </c>
      <c r="E48" s="32">
        <f>MatP8281C0Price</f>
        <v>5</v>
      </c>
      <c r="F48" s="33" t="str">
        <f>MatP8281C0PerText</f>
        <v>Each</v>
      </c>
      <c r="G48" s="32">
        <f t="shared" si="0"/>
        <v>55</v>
      </c>
    </row>
    <row r="49" spans="1:7" x14ac:dyDescent="0.2">
      <c r="A49" s="24" t="str">
        <f>MatP8866C20Colour</f>
        <v>Not Specified</v>
      </c>
      <c r="B49" s="24" t="str">
        <f>IF(MatP8866C20Code=0,"",MatP8866C20Code)</f>
        <v/>
      </c>
      <c r="C49" s="24" t="str">
        <f>MatP8866C20Desc</f>
        <v>Rafter Roll (6m x 600mm)</v>
      </c>
      <c r="D49" s="31">
        <v>2</v>
      </c>
      <c r="E49" s="32">
        <f>MatP8866C20Price</f>
        <v>9.5</v>
      </c>
      <c r="F49" s="33" t="str">
        <f>MatP8866C20PerText</f>
        <v>Each</v>
      </c>
      <c r="G49" s="32">
        <f t="shared" si="0"/>
        <v>19</v>
      </c>
    </row>
    <row r="50" spans="1:7" x14ac:dyDescent="0.2">
      <c r="A50" s="24" t="str">
        <f>MatP8874C20Colour</f>
        <v>Not Specified</v>
      </c>
      <c r="B50" s="24" t="str">
        <f>IF(MatP8874C20Code=0,"",MatP8874C20Code)</f>
        <v/>
      </c>
      <c r="C50" s="24" t="str">
        <f>MatP8874C20Desc</f>
        <v>Underlay Support Tray (1.5m)</v>
      </c>
      <c r="D50" s="31">
        <v>8</v>
      </c>
      <c r="E50" s="32">
        <f>MatP8874C20Price</f>
        <v>1.5</v>
      </c>
      <c r="F50" s="33" t="str">
        <f>MatP8874C20PerText</f>
        <v>Each</v>
      </c>
      <c r="G50" s="32">
        <f t="shared" si="0"/>
        <v>12</v>
      </c>
    </row>
    <row r="51" spans="1:7" x14ac:dyDescent="0.2">
      <c r="A51" s="24" t="str">
        <f>MatP8838C92Colour</f>
        <v>Not Specified</v>
      </c>
      <c r="B51" s="24" t="str">
        <f>IF(MatP8838C92Code=0,"",MatP8838C92Code)</f>
        <v/>
      </c>
      <c r="C51" s="24" t="str">
        <f>MatP8838C92Desc</f>
        <v>GRP Dry Fix Valley Trough - Over Batten Fix (3m x 400mm x 70mm)</v>
      </c>
      <c r="D51" s="31">
        <v>4</v>
      </c>
      <c r="E51" s="32">
        <f>MatP8838C92Price</f>
        <v>32.5</v>
      </c>
      <c r="F51" s="33" t="str">
        <f>MatP8838C92PerText</f>
        <v>Each</v>
      </c>
      <c r="G51" s="32">
        <f t="shared" si="0"/>
        <v>130</v>
      </c>
    </row>
    <row r="52" spans="1:7" x14ac:dyDescent="0.2">
      <c r="A52" s="24" t="str">
        <f>MatP8872C539Colour</f>
        <v>Not Specified</v>
      </c>
      <c r="B52" s="24" t="str">
        <f>IF(MatP8872C539Code=0,"",MatP8872C539Code)</f>
        <v/>
      </c>
      <c r="C52" s="24" t="str">
        <f>MatP8872C539Desc</f>
        <v>Sidelock Tile Clips (TLE)</v>
      </c>
      <c r="D52" s="31">
        <v>226</v>
      </c>
      <c r="E52" s="32">
        <f>MatP8872C539Price</f>
        <v>7.0000000000000007E-2</v>
      </c>
      <c r="F52" s="33" t="str">
        <f>MatP8872C539PerText</f>
        <v>Each</v>
      </c>
      <c r="G52" s="32">
        <f t="shared" si="0"/>
        <v>15.820000000000002</v>
      </c>
    </row>
    <row r="53" spans="1:7" x14ac:dyDescent="0.2">
      <c r="A53" s="24" t="str">
        <f>MatP8826C539Colour</f>
        <v>Not Specified</v>
      </c>
      <c r="B53" s="24" t="str">
        <f>IF(MatP8826C539Code=0,"",MatP8826C539Code)</f>
        <v/>
      </c>
      <c r="C53" s="24" t="str">
        <f>MatP8826C539Desc</f>
        <v>Metal Batten End Clips</v>
      </c>
      <c r="D53" s="31">
        <v>76</v>
      </c>
      <c r="E53" s="32">
        <f>MatP8826C539Price</f>
        <v>0.28000000000000003</v>
      </c>
      <c r="F53" s="33" t="str">
        <f>MatP8826C539PerText</f>
        <v>Each</v>
      </c>
      <c r="G53" s="32">
        <f t="shared" si="0"/>
        <v>21.28</v>
      </c>
    </row>
    <row r="54" spans="1:7" x14ac:dyDescent="0.2">
      <c r="A54" s="24" t="str">
        <f>MatP8831C539Colour</f>
        <v>Not Specified</v>
      </c>
      <c r="B54" s="24" t="str">
        <f>IF(MatP8831C539Code=0,"",MatP8831C539Code)</f>
        <v/>
      </c>
      <c r="C54" s="24" t="str">
        <f>MatP8831C539Desc</f>
        <v>Eave Clip</v>
      </c>
      <c r="D54" s="31">
        <v>37</v>
      </c>
      <c r="E54" s="32">
        <f>MatP8831C539Price</f>
        <v>0.1</v>
      </c>
      <c r="F54" s="33" t="str">
        <f>MatP8831C539PerText</f>
        <v>Each</v>
      </c>
      <c r="G54" s="32">
        <f t="shared" si="0"/>
        <v>3.7</v>
      </c>
    </row>
    <row r="55" spans="1:7" x14ac:dyDescent="0.2">
      <c r="A55" s="24" t="str">
        <f>MatP9318C0Colour</f>
        <v>Not Specified</v>
      </c>
      <c r="B55" s="24" t="str">
        <f>IF(MatP9318C0Code=0,"",MatP9318C0Code)</f>
        <v/>
      </c>
      <c r="C55" s="24" t="str">
        <f>MatP9318C0Desc</f>
        <v>45mm x 3.35mm Aluminium Nails</v>
      </c>
      <c r="D55" s="31">
        <v>2.0000000596046448</v>
      </c>
      <c r="E55" s="32">
        <f>MatP9318C0Price</f>
        <v>7.28</v>
      </c>
      <c r="F55" s="33" t="str">
        <f>MatP9318C0PerText</f>
        <v>Kg</v>
      </c>
      <c r="G55" s="32">
        <f t="shared" si="0"/>
        <v>14.560000433921815</v>
      </c>
    </row>
    <row r="56" spans="1:7" x14ac:dyDescent="0.2">
      <c r="A56" s="24" t="str">
        <f>MatP9100C0Colour</f>
        <v>Not Specified</v>
      </c>
      <c r="B56" s="24" t="str">
        <f>IF(MatP9100C0Code=0,"",MatP9100C0Code)</f>
        <v/>
      </c>
      <c r="C56" s="24" t="str">
        <f>MatP9100C0Desc</f>
        <v>Batten Nails - 65mm x 3.35mm Galvanised</v>
      </c>
      <c r="D56" s="31">
        <v>3</v>
      </c>
      <c r="E56" s="32">
        <f>MatP9100C0Price</f>
        <v>4.5</v>
      </c>
      <c r="F56" s="33" t="str">
        <f>MatP9100C0PerText</f>
        <v>Kg</v>
      </c>
      <c r="G56" s="32">
        <f t="shared" si="0"/>
        <v>13.5</v>
      </c>
    </row>
    <row r="57" spans="1:7" x14ac:dyDescent="0.2">
      <c r="A57" s="24" t="str">
        <f>MatLeadValleySaddleColour</f>
        <v>Not Specified</v>
      </c>
      <c r="B57" s="24" t="str">
        <f>IF(MatLeadValleySaddleCode=0,"",MatLeadValleySaddleCode)</f>
        <v/>
      </c>
      <c r="C57" s="24" t="str">
        <f>MatLeadValleySaddleDesc</f>
        <v>Lead Valley Saddle</v>
      </c>
      <c r="D57" s="31">
        <v>1</v>
      </c>
      <c r="E57" s="32">
        <f>MatLeadValleySaddlePrice</f>
        <v>15</v>
      </c>
      <c r="F57" s="33" t="str">
        <f>MatLeadValleySaddlePerText</f>
        <v>Each</v>
      </c>
      <c r="G57" s="32">
        <f t="shared" si="0"/>
        <v>15</v>
      </c>
    </row>
    <row r="58" spans="1:7" x14ac:dyDescent="0.2">
      <c r="D58" s="31"/>
      <c r="E58" s="32"/>
      <c r="F58" s="33"/>
      <c r="G58" s="32"/>
    </row>
    <row r="59" spans="1:7" x14ac:dyDescent="0.2">
      <c r="F59" s="34" t="s">
        <v>5</v>
      </c>
      <c r="G59" s="35">
        <f>SUM(G38:G58)</f>
        <v>1829.6900014770031</v>
      </c>
    </row>
    <row r="60" spans="1:7" x14ac:dyDescent="0.2">
      <c r="G60" s="34"/>
    </row>
    <row r="61" spans="1:7" x14ac:dyDescent="0.2">
      <c r="A61" s="25" t="s">
        <v>15</v>
      </c>
      <c r="B61" s="25"/>
      <c r="D61" s="25"/>
      <c r="E61" s="25"/>
      <c r="F61" s="25"/>
      <c r="G61" s="25"/>
    </row>
    <row r="63" spans="1:7" x14ac:dyDescent="0.2">
      <c r="A63" s="102" t="s">
        <v>6</v>
      </c>
      <c r="B63" s="102"/>
      <c r="C63" s="102"/>
      <c r="D63" s="34" t="s">
        <v>7</v>
      </c>
      <c r="E63" s="34" t="s">
        <v>9</v>
      </c>
      <c r="F63" s="34" t="s">
        <v>8</v>
      </c>
      <c r="G63" s="34" t="s">
        <v>16</v>
      </c>
    </row>
    <row r="64" spans="1:7" x14ac:dyDescent="0.2">
      <c r="A64" s="103" t="str">
        <f>LabP8815R6L1G1Desc</f>
        <v>Main Area</v>
      </c>
      <c r="B64" s="103"/>
      <c r="C64" s="103"/>
      <c r="D64" s="36">
        <f>LabP8815R6L1G1Rate</f>
        <v>9</v>
      </c>
      <c r="E64" s="37">
        <f>'HTF-Main Roof'!Area</f>
        <v>70.06</v>
      </c>
      <c r="F64" s="27" t="str">
        <f xml:space="preserve"> "" &amp; LabP8815R6L1G1Per</f>
        <v>m²</v>
      </c>
      <c r="G64" s="36">
        <f>D64 * E64</f>
        <v>630.54</v>
      </c>
    </row>
    <row r="65" spans="1:7" x14ac:dyDescent="0.2">
      <c r="A65" s="24" t="str">
        <f>LabP8815R0L1G2Desc</f>
        <v>Eave</v>
      </c>
      <c r="D65" s="36">
        <f>LabP8815R0L1G2Rate</f>
        <v>2.5</v>
      </c>
      <c r="E65" s="37">
        <f>'HTF-Main Roof'!Eave</f>
        <v>10.6</v>
      </c>
      <c r="F65" s="27" t="str">
        <f xml:space="preserve"> "" &amp; LabP8815R0L1G2Per</f>
        <v>m</v>
      </c>
      <c r="G65" s="36">
        <f>D65 * E65</f>
        <v>26.5</v>
      </c>
    </row>
    <row r="66" spans="1:7" x14ac:dyDescent="0.2">
      <c r="A66" s="24" t="str">
        <f>LabP8815R0L1G3Desc</f>
        <v>Verge</v>
      </c>
      <c r="D66" s="36">
        <f>LabP8815R0L1G3Rate</f>
        <v>2.5</v>
      </c>
      <c r="E66" s="37">
        <f>LeftVerge+RightVerge</f>
        <v>25.54</v>
      </c>
      <c r="F66" s="27" t="str">
        <f xml:space="preserve"> "" &amp; LabP8815R0L1G3Per</f>
        <v>m</v>
      </c>
      <c r="G66" s="36">
        <f>D66 * E66</f>
        <v>63.849999999999994</v>
      </c>
    </row>
    <row r="67" spans="1:7" x14ac:dyDescent="0.2">
      <c r="A67" s="24" t="str">
        <f>LabP8815R15L1G7Desc</f>
        <v>Valley</v>
      </c>
      <c r="D67" s="36">
        <f>LabP8815R15L1G7Rate</f>
        <v>15</v>
      </c>
      <c r="E67" s="37">
        <f>'HTF-Main Roof'!Valley</f>
        <v>8.5</v>
      </c>
      <c r="F67" s="27" t="str">
        <f xml:space="preserve"> "" &amp; LabP8815R15L1G7Per</f>
        <v>m</v>
      </c>
      <c r="G67" s="36">
        <f>D67 * E67</f>
        <v>127.5</v>
      </c>
    </row>
    <row r="68" spans="1:7" x14ac:dyDescent="0.2">
      <c r="A68" s="24" t="str">
        <f>LabP8815R0L1G8Desc</f>
        <v>Duo Ridge</v>
      </c>
      <c r="D68" s="36">
        <f>LabP8815R0L1G8Rate</f>
        <v>2.5</v>
      </c>
      <c r="E68" s="37">
        <f>'HTF-Main Roof'!DuoRidge</f>
        <v>10.58</v>
      </c>
      <c r="F68" s="27" t="str">
        <f xml:space="preserve"> "" &amp; LabP8815R0L1G8Per</f>
        <v>m</v>
      </c>
      <c r="G68" s="36">
        <f>D68 * E68</f>
        <v>26.45</v>
      </c>
    </row>
    <row r="69" spans="1:7" x14ac:dyDescent="0.2">
      <c r="D69" s="36"/>
      <c r="E69" s="37"/>
      <c r="F69" s="27"/>
      <c r="G69" s="36"/>
    </row>
    <row r="70" spans="1:7" x14ac:dyDescent="0.2">
      <c r="A70" s="103"/>
      <c r="B70" s="103"/>
      <c r="C70" s="103"/>
      <c r="D70" s="36"/>
      <c r="E70" s="37"/>
      <c r="G70" s="36"/>
    </row>
    <row r="71" spans="1:7" x14ac:dyDescent="0.2">
      <c r="F71" s="34" t="s">
        <v>5</v>
      </c>
      <c r="G71" s="35">
        <f>SUM(G64:G70)</f>
        <v>874.84</v>
      </c>
    </row>
    <row r="75" spans="1:7" x14ac:dyDescent="0.2">
      <c r="A75" s="34"/>
      <c r="B75" s="38"/>
    </row>
    <row r="77" spans="1:7" x14ac:dyDescent="0.2">
      <c r="A77" s="34"/>
      <c r="B77" s="38"/>
    </row>
    <row r="79" spans="1:7" x14ac:dyDescent="0.2">
      <c r="A79" s="34"/>
      <c r="B79" s="38"/>
    </row>
    <row r="81" spans="1:3" x14ac:dyDescent="0.2">
      <c r="A81" s="34"/>
      <c r="B81" s="38"/>
    </row>
    <row r="84" spans="1:3" x14ac:dyDescent="0.2">
      <c r="A84" s="34"/>
      <c r="B84" s="38"/>
      <c r="C84" s="39"/>
    </row>
    <row r="86" spans="1:3" x14ac:dyDescent="0.2">
      <c r="A86" s="34"/>
      <c r="B86" s="38"/>
    </row>
    <row r="88" spans="1:3" x14ac:dyDescent="0.2">
      <c r="A88" s="34"/>
      <c r="B88" s="38"/>
      <c r="C88" s="39"/>
    </row>
    <row r="90" spans="1:3" x14ac:dyDescent="0.2">
      <c r="A90" s="34"/>
      <c r="B90" s="38"/>
    </row>
    <row r="92" spans="1:3" x14ac:dyDescent="0.2">
      <c r="A92" s="34"/>
      <c r="B92" s="38"/>
    </row>
    <row r="95" spans="1:3" x14ac:dyDescent="0.2">
      <c r="A95" s="34"/>
      <c r="B95" s="38"/>
    </row>
    <row r="97" spans="1:3" x14ac:dyDescent="0.2">
      <c r="A97" s="34"/>
      <c r="B97" s="38"/>
    </row>
    <row r="99" spans="1:3" x14ac:dyDescent="0.2">
      <c r="A99" s="34"/>
      <c r="B99" s="38"/>
      <c r="C99" s="39"/>
    </row>
    <row r="102" spans="1:3" x14ac:dyDescent="0.2">
      <c r="A102" s="34"/>
      <c r="B102" s="40"/>
      <c r="C102" s="23"/>
    </row>
    <row r="105" spans="1:3" x14ac:dyDescent="0.2">
      <c r="A105" s="39"/>
      <c r="B105" s="41"/>
    </row>
  </sheetData>
  <mergeCells count="5">
    <mergeCell ref="B4:F4"/>
    <mergeCell ref="B5:F5"/>
    <mergeCell ref="A63:C63"/>
    <mergeCell ref="A64:C64"/>
    <mergeCell ref="A70:C70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618D8-BF04-4456-BD1A-BDEBB4F41665}">
  <dimension ref="A1:G96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180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145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1.54</v>
      </c>
      <c r="C9" s="23"/>
      <c r="D9" s="26"/>
    </row>
    <row r="10" spans="1:7" x14ac:dyDescent="0.2">
      <c r="A10" s="23" t="s">
        <v>114</v>
      </c>
      <c r="B10" s="24">
        <v>1.4</v>
      </c>
      <c r="C10" s="23"/>
      <c r="D10" s="26"/>
    </row>
    <row r="11" spans="1:7" x14ac:dyDescent="0.2">
      <c r="A11" s="23" t="s">
        <v>141</v>
      </c>
      <c r="B11" s="24">
        <v>1.4</v>
      </c>
      <c r="C11" s="23"/>
      <c r="D11" s="26"/>
    </row>
    <row r="12" spans="1:7" x14ac:dyDescent="0.2">
      <c r="A12" s="23" t="s">
        <v>115</v>
      </c>
      <c r="B12" s="24">
        <v>1.1000000000000001</v>
      </c>
      <c r="C12" s="23"/>
      <c r="D12" s="26"/>
    </row>
    <row r="13" spans="1:7" x14ac:dyDescent="0.2">
      <c r="A13" s="23" t="s">
        <v>116</v>
      </c>
      <c r="B13" s="24">
        <v>0</v>
      </c>
      <c r="C13" s="23"/>
      <c r="D13" s="26"/>
    </row>
    <row r="14" spans="1:7" x14ac:dyDescent="0.2">
      <c r="A14" s="23" t="s">
        <v>153</v>
      </c>
      <c r="B14" s="24">
        <v>1.1000000000000001</v>
      </c>
      <c r="C14" s="23"/>
      <c r="D14" s="26"/>
    </row>
    <row r="15" spans="1:7" x14ac:dyDescent="0.2">
      <c r="A15" s="23" t="s">
        <v>119</v>
      </c>
      <c r="B15" s="24">
        <v>600</v>
      </c>
      <c r="C15" s="23"/>
      <c r="D15" s="26"/>
    </row>
    <row r="16" spans="1:7" x14ac:dyDescent="0.2">
      <c r="A16" s="23" t="s">
        <v>120</v>
      </c>
      <c r="B16" s="24">
        <v>35</v>
      </c>
      <c r="C16" s="23"/>
      <c r="D16" s="26"/>
    </row>
    <row r="17" spans="1:7" x14ac:dyDescent="0.2">
      <c r="A17" s="23"/>
      <c r="C17" s="23"/>
      <c r="D17" s="26"/>
    </row>
    <row r="18" spans="1:7" x14ac:dyDescent="0.2">
      <c r="A18" s="23"/>
      <c r="B18" s="27"/>
      <c r="C18" s="23"/>
      <c r="D18" s="26"/>
    </row>
    <row r="19" spans="1:7" x14ac:dyDescent="0.2">
      <c r="A19" s="28" t="s">
        <v>10</v>
      </c>
      <c r="B19" s="28"/>
      <c r="C19" s="28"/>
      <c r="D19" s="28"/>
      <c r="E19" s="28"/>
      <c r="F19" s="28"/>
      <c r="G19" s="28"/>
    </row>
    <row r="20" spans="1:7" x14ac:dyDescent="0.2">
      <c r="A20" s="28"/>
      <c r="B20" s="28"/>
      <c r="C20" s="28"/>
      <c r="D20" s="28"/>
      <c r="E20" s="28"/>
      <c r="F20" s="28"/>
      <c r="G20" s="28"/>
    </row>
    <row r="21" spans="1:7" x14ac:dyDescent="0.2">
      <c r="A21" s="29" t="s">
        <v>121</v>
      </c>
      <c r="B21" s="24" t="s">
        <v>122</v>
      </c>
      <c r="C21" s="29"/>
      <c r="D21" s="29"/>
      <c r="E21" s="29"/>
      <c r="F21" s="29"/>
    </row>
    <row r="22" spans="1:7" x14ac:dyDescent="0.2">
      <c r="A22" s="29" t="s">
        <v>123</v>
      </c>
      <c r="B22" s="24" t="s">
        <v>124</v>
      </c>
      <c r="C22" s="29"/>
      <c r="D22" s="29"/>
      <c r="E22" s="29"/>
      <c r="F22" s="29"/>
    </row>
    <row r="23" spans="1:7" x14ac:dyDescent="0.2">
      <c r="A23" s="29"/>
      <c r="B23" s="24" t="s">
        <v>125</v>
      </c>
      <c r="C23" s="29"/>
      <c r="D23" s="29"/>
      <c r="E23" s="29"/>
      <c r="F23" s="29"/>
    </row>
    <row r="24" spans="1:7" x14ac:dyDescent="0.2">
      <c r="A24" s="29" t="s">
        <v>126</v>
      </c>
      <c r="B24" s="24" t="s">
        <v>127</v>
      </c>
      <c r="C24" s="29"/>
      <c r="D24" s="29"/>
      <c r="E24" s="29"/>
      <c r="F24" s="29"/>
    </row>
    <row r="25" spans="1:7" x14ac:dyDescent="0.2">
      <c r="A25" s="29"/>
      <c r="B25" s="24" t="s">
        <v>67</v>
      </c>
      <c r="C25" s="29"/>
      <c r="D25" s="29"/>
      <c r="E25" s="29"/>
      <c r="F25" s="29"/>
    </row>
    <row r="26" spans="1:7" x14ac:dyDescent="0.2">
      <c r="A26" s="29" t="s">
        <v>129</v>
      </c>
      <c r="B26" s="24" t="s">
        <v>130</v>
      </c>
      <c r="C26" s="29"/>
      <c r="D26" s="29"/>
      <c r="E26" s="29"/>
      <c r="F26" s="29"/>
    </row>
    <row r="27" spans="1:7" x14ac:dyDescent="0.2">
      <c r="A27" s="29" t="s">
        <v>134</v>
      </c>
      <c r="B27" s="24" t="s">
        <v>135</v>
      </c>
      <c r="C27" s="29"/>
      <c r="D27" s="29"/>
      <c r="E27" s="29"/>
      <c r="F27" s="29"/>
    </row>
    <row r="28" spans="1:7" x14ac:dyDescent="0.2">
      <c r="A28" s="29" t="s">
        <v>143</v>
      </c>
      <c r="B28" s="24" t="s">
        <v>144</v>
      </c>
      <c r="C28" s="29"/>
      <c r="D28" s="29"/>
      <c r="E28" s="29"/>
      <c r="F28" s="29"/>
    </row>
    <row r="29" spans="1:7" x14ac:dyDescent="0.2">
      <c r="A29" s="29"/>
      <c r="B29" s="24" t="s">
        <v>155</v>
      </c>
      <c r="C29" s="29"/>
      <c r="D29" s="29"/>
      <c r="E29" s="29"/>
      <c r="F29" s="29"/>
    </row>
    <row r="30" spans="1:7" x14ac:dyDescent="0.2">
      <c r="A30" s="29"/>
      <c r="C30" s="29"/>
      <c r="D30" s="29"/>
      <c r="E30" s="29"/>
      <c r="F30" s="29"/>
    </row>
    <row r="31" spans="1:7" x14ac:dyDescent="0.2">
      <c r="A31" s="29"/>
      <c r="C31" s="29"/>
      <c r="D31" s="29"/>
      <c r="E31" s="29"/>
      <c r="F31" s="29"/>
    </row>
    <row r="32" spans="1:7" x14ac:dyDescent="0.2">
      <c r="A32" s="25" t="s">
        <v>14</v>
      </c>
      <c r="B32" s="25"/>
      <c r="C32" s="25"/>
      <c r="D32" s="25"/>
      <c r="E32" s="25"/>
      <c r="F32" s="25"/>
      <c r="G32" s="25"/>
    </row>
    <row r="34" spans="1:7" s="29" customFormat="1" x14ac:dyDescent="0.2">
      <c r="A34" s="29" t="s">
        <v>25</v>
      </c>
      <c r="B34" s="29" t="s">
        <v>38</v>
      </c>
      <c r="C34" s="29" t="s">
        <v>2</v>
      </c>
      <c r="D34" s="30" t="s">
        <v>9</v>
      </c>
      <c r="E34" s="30" t="s">
        <v>3</v>
      </c>
      <c r="F34" s="30" t="s">
        <v>4</v>
      </c>
      <c r="G34" s="30" t="s">
        <v>16</v>
      </c>
    </row>
    <row r="35" spans="1:7" x14ac:dyDescent="0.2">
      <c r="A35" s="24" t="str">
        <f>MatP8815C0Colour</f>
        <v>Not Specified</v>
      </c>
      <c r="B35" s="24" t="str">
        <f>IF(MatP8815C0Code=0,"",MatP8815C0Code)</f>
        <v/>
      </c>
      <c r="C35" s="24" t="str">
        <f>MatP8815C0Desc</f>
        <v>TLE Tile</v>
      </c>
      <c r="D35" s="31">
        <v>21</v>
      </c>
      <c r="E35" s="32">
        <f>MatP8815C0Price</f>
        <v>1.2</v>
      </c>
      <c r="F35" s="33" t="str">
        <f>MatP8815C0PerText</f>
        <v>Each</v>
      </c>
      <c r="G35" s="32">
        <f t="shared" ref="G35:G46" si="0">D35 * E35</f>
        <v>25.2</v>
      </c>
    </row>
    <row r="36" spans="1:7" x14ac:dyDescent="0.2">
      <c r="A36" s="24" t="str">
        <f>MatP9008C0Colour</f>
        <v>Not Specified</v>
      </c>
      <c r="B36" s="24" t="str">
        <f>IF(MatP9008C0Code=0,"",MatP9008C0Code)</f>
        <v/>
      </c>
      <c r="C36" s="24" t="str">
        <f>MatP9008C0Desc</f>
        <v>Battens (50mm x 25mm)</v>
      </c>
      <c r="D36" s="31">
        <v>5</v>
      </c>
      <c r="E36" s="32">
        <f>MatP9008C0Price</f>
        <v>0.9</v>
      </c>
      <c r="F36" s="33" t="str">
        <f>MatP9008C0PerText</f>
        <v>Metre</v>
      </c>
      <c r="G36" s="32">
        <f t="shared" si="0"/>
        <v>4.5</v>
      </c>
    </row>
    <row r="37" spans="1:7" x14ac:dyDescent="0.2">
      <c r="A37" s="24" t="str">
        <f>MatP8857C0Colour</f>
        <v>Not Specified</v>
      </c>
      <c r="B37" s="24" t="str">
        <f>IF(MatP8857C0Code=0,"",MatP8857C0Code)</f>
        <v/>
      </c>
      <c r="C37" s="24" t="str">
        <f>MatP8857C0Desc</f>
        <v>LH Uni-Fix Dry Verge Unit</v>
      </c>
      <c r="D37" s="31">
        <v>8</v>
      </c>
      <c r="E37" s="32">
        <f>MatP8857C0Price</f>
        <v>1.1000000000000001</v>
      </c>
      <c r="F37" s="33" t="str">
        <f>MatP8857C0PerText</f>
        <v>Each</v>
      </c>
      <c r="G37" s="32">
        <f t="shared" si="0"/>
        <v>8.8000000000000007</v>
      </c>
    </row>
    <row r="38" spans="1:7" x14ac:dyDescent="0.2">
      <c r="A38" s="24" t="str">
        <f>MatP8830C20Colour</f>
        <v>Not Specified</v>
      </c>
      <c r="B38" s="24" t="str">
        <f>IF(MatP8830C20Code=0,"",MatP8830C20Code)</f>
        <v/>
      </c>
      <c r="C38" s="24" t="str">
        <f>MatP8830C20Desc</f>
        <v>Dry Verge Starter Unit</v>
      </c>
      <c r="D38" s="31">
        <v>1</v>
      </c>
      <c r="E38" s="32">
        <f>MatP8830C20Price</f>
        <v>1.51</v>
      </c>
      <c r="F38" s="33" t="str">
        <f>MatP8830C20PerText</f>
        <v>Each</v>
      </c>
      <c r="G38" s="32">
        <f t="shared" si="0"/>
        <v>1.51</v>
      </c>
    </row>
    <row r="39" spans="1:7" x14ac:dyDescent="0.2">
      <c r="A39" s="24" t="str">
        <f>MatP8281C0Colour</f>
        <v>Not Specified</v>
      </c>
      <c r="B39" s="24" t="str">
        <f>IF(MatP8281C0Code=0,"",MatP8281C0Code)</f>
        <v/>
      </c>
      <c r="C39" s="24" t="str">
        <f>MatP8281C0Desc</f>
        <v>Generic Eave Insulation (1m)</v>
      </c>
      <c r="D39" s="31">
        <v>2</v>
      </c>
      <c r="E39" s="32">
        <f>MatP8281C0Price</f>
        <v>5</v>
      </c>
      <c r="F39" s="33" t="str">
        <f>MatP8281C0PerText</f>
        <v>Each</v>
      </c>
      <c r="G39" s="32">
        <f t="shared" si="0"/>
        <v>10</v>
      </c>
    </row>
    <row r="40" spans="1:7" x14ac:dyDescent="0.2">
      <c r="A40" s="24" t="str">
        <f>MatP8874C20Colour</f>
        <v>Not Specified</v>
      </c>
      <c r="B40" s="24" t="str">
        <f>IF(MatP8874C20Code=0,"",MatP8874C20Code)</f>
        <v/>
      </c>
      <c r="C40" s="24" t="str">
        <f>MatP8874C20Desc</f>
        <v>Underlay Support Tray (1.5m)</v>
      </c>
      <c r="D40" s="31">
        <v>1</v>
      </c>
      <c r="E40" s="32">
        <f>MatP8874C20Price</f>
        <v>1.5</v>
      </c>
      <c r="F40" s="33" t="str">
        <f>MatP8874C20PerText</f>
        <v>Each</v>
      </c>
      <c r="G40" s="32">
        <f t="shared" si="0"/>
        <v>1.5</v>
      </c>
    </row>
    <row r="41" spans="1:7" x14ac:dyDescent="0.2">
      <c r="A41" s="24" t="str">
        <f>MatP8872C539Colour</f>
        <v>Not Specified</v>
      </c>
      <c r="B41" s="24" t="str">
        <f>IF(MatP8872C539Code=0,"",MatP8872C539Code)</f>
        <v/>
      </c>
      <c r="C41" s="24" t="str">
        <f>MatP8872C539Desc</f>
        <v>Sidelock Tile Clips (TLE)</v>
      </c>
      <c r="D41" s="31">
        <v>1</v>
      </c>
      <c r="E41" s="32">
        <f>MatP8872C539Price</f>
        <v>7.0000000000000007E-2</v>
      </c>
      <c r="F41" s="33" t="str">
        <f>MatP8872C539PerText</f>
        <v>Each</v>
      </c>
      <c r="G41" s="32">
        <f t="shared" si="0"/>
        <v>7.0000000000000007E-2</v>
      </c>
    </row>
    <row r="42" spans="1:7" x14ac:dyDescent="0.2">
      <c r="A42" s="24" t="str">
        <f>MatP8826C539Colour</f>
        <v>Not Specified</v>
      </c>
      <c r="B42" s="24" t="str">
        <f>IF(MatP8826C539Code=0,"",MatP8826C539Code)</f>
        <v/>
      </c>
      <c r="C42" s="24" t="str">
        <f>MatP8826C539Desc</f>
        <v>Metal Batten End Clips</v>
      </c>
      <c r="D42" s="31">
        <v>4</v>
      </c>
      <c r="E42" s="32">
        <f>MatP8826C539Price</f>
        <v>0.28000000000000003</v>
      </c>
      <c r="F42" s="33" t="str">
        <f>MatP8826C539PerText</f>
        <v>Each</v>
      </c>
      <c r="G42" s="32">
        <f t="shared" si="0"/>
        <v>1.1200000000000001</v>
      </c>
    </row>
    <row r="43" spans="1:7" x14ac:dyDescent="0.2">
      <c r="A43" s="24" t="str">
        <f>MatP8831C539Colour</f>
        <v>Not Specified</v>
      </c>
      <c r="B43" s="24" t="str">
        <f>IF(MatP8831C539Code=0,"",MatP8831C539Code)</f>
        <v/>
      </c>
      <c r="C43" s="24" t="str">
        <f>MatP8831C539Desc</f>
        <v>Eave Clip</v>
      </c>
      <c r="D43" s="31">
        <v>5</v>
      </c>
      <c r="E43" s="32">
        <f>MatP8831C539Price</f>
        <v>0.1</v>
      </c>
      <c r="F43" s="33" t="str">
        <f>MatP8831C539PerText</f>
        <v>Each</v>
      </c>
      <c r="G43" s="32">
        <f t="shared" si="0"/>
        <v>0.5</v>
      </c>
    </row>
    <row r="44" spans="1:7" x14ac:dyDescent="0.2">
      <c r="A44" s="24" t="str">
        <f>MatP9318C0Colour</f>
        <v>Not Specified</v>
      </c>
      <c r="B44" s="24" t="str">
        <f>IF(MatP9318C0Code=0,"",MatP9318C0Code)</f>
        <v/>
      </c>
      <c r="C44" s="24" t="str">
        <f>MatP9318C0Desc</f>
        <v>45mm x 3.35mm Aluminium Nails</v>
      </c>
      <c r="D44" s="31">
        <v>0.99999997764825821</v>
      </c>
      <c r="E44" s="32">
        <f>MatP9318C0Price</f>
        <v>7.28</v>
      </c>
      <c r="F44" s="33" t="str">
        <f>MatP9318C0PerText</f>
        <v>Kg</v>
      </c>
      <c r="G44" s="32">
        <f t="shared" si="0"/>
        <v>7.2799998372793198</v>
      </c>
    </row>
    <row r="45" spans="1:7" x14ac:dyDescent="0.2">
      <c r="A45" s="24" t="str">
        <f>MatP9100C0Colour</f>
        <v>Not Specified</v>
      </c>
      <c r="B45" s="24" t="str">
        <f>IF(MatP9100C0Code=0,"",MatP9100C0Code)</f>
        <v/>
      </c>
      <c r="C45" s="24" t="str">
        <f>MatP9100C0Desc</f>
        <v>Batten Nails - 65mm x 3.35mm Galvanised</v>
      </c>
      <c r="D45" s="31">
        <v>1</v>
      </c>
      <c r="E45" s="32">
        <f>MatP9100C0Price</f>
        <v>4.5</v>
      </c>
      <c r="F45" s="33" t="str">
        <f>MatP9100C0PerText</f>
        <v>Kg</v>
      </c>
      <c r="G45" s="32">
        <f t="shared" si="0"/>
        <v>4.5</v>
      </c>
    </row>
    <row r="46" spans="1:7" x14ac:dyDescent="0.2">
      <c r="A46" s="24" t="str">
        <f>MatP9066C92Colour</f>
        <v>Not Specified</v>
      </c>
      <c r="B46" s="24" t="str">
        <f>IF(MatP9066C92Code=0,"",MatP9066C92Code)</f>
        <v/>
      </c>
      <c r="C46" s="24" t="str">
        <f>MatP9066C92Desc</f>
        <v>Lead Code 4 - 300mm (6m)</v>
      </c>
      <c r="D46" s="31">
        <v>3</v>
      </c>
      <c r="E46" s="32">
        <f>MatP9066C92Price</f>
        <v>15.21</v>
      </c>
      <c r="F46" s="33" t="str">
        <f>MatP9066C92PerText</f>
        <v>Metre</v>
      </c>
      <c r="G46" s="32">
        <f t="shared" si="0"/>
        <v>45.63</v>
      </c>
    </row>
    <row r="47" spans="1:7" x14ac:dyDescent="0.2">
      <c r="D47" s="31"/>
      <c r="E47" s="32"/>
      <c r="F47" s="33"/>
      <c r="G47" s="32"/>
    </row>
    <row r="48" spans="1:7" x14ac:dyDescent="0.2">
      <c r="F48" s="34" t="s">
        <v>5</v>
      </c>
      <c r="G48" s="35">
        <f>SUM(G35:G47)</f>
        <v>110.6099998372793</v>
      </c>
    </row>
    <row r="49" spans="1:7" x14ac:dyDescent="0.2">
      <c r="G49" s="34"/>
    </row>
    <row r="50" spans="1:7" x14ac:dyDescent="0.2">
      <c r="A50" s="25" t="s">
        <v>15</v>
      </c>
      <c r="B50" s="25"/>
      <c r="D50" s="25"/>
      <c r="E50" s="25"/>
      <c r="F50" s="25"/>
      <c r="G50" s="25"/>
    </row>
    <row r="52" spans="1:7" x14ac:dyDescent="0.2">
      <c r="A52" s="102" t="s">
        <v>6</v>
      </c>
      <c r="B52" s="102"/>
      <c r="C52" s="102"/>
      <c r="D52" s="34" t="s">
        <v>7</v>
      </c>
      <c r="E52" s="34" t="s">
        <v>9</v>
      </c>
      <c r="F52" s="34" t="s">
        <v>8</v>
      </c>
      <c r="G52" s="34" t="s">
        <v>16</v>
      </c>
    </row>
    <row r="53" spans="1:7" x14ac:dyDescent="0.2">
      <c r="A53" s="103" t="str">
        <f>LabP8815R6L1G1Desc</f>
        <v>Main Area</v>
      </c>
      <c r="B53" s="103"/>
      <c r="C53" s="103"/>
      <c r="D53" s="36">
        <f>LabP8815R6L1G1Rate</f>
        <v>9</v>
      </c>
      <c r="E53" s="37">
        <f>'HTF-Porch (Lean to)'!Area</f>
        <v>1.54</v>
      </c>
      <c r="F53" s="27" t="str">
        <f xml:space="preserve"> "" &amp; LabP8815R6L1G1Per</f>
        <v>m²</v>
      </c>
      <c r="G53" s="36">
        <f t="shared" ref="G53:G59" si="1">D53 * E53</f>
        <v>13.86</v>
      </c>
    </row>
    <row r="54" spans="1:7" x14ac:dyDescent="0.2">
      <c r="A54" s="24" t="str">
        <f>LabP8815R0L1G2Desc</f>
        <v>Eave</v>
      </c>
      <c r="D54" s="36">
        <f>LabP8815R0L1G2Rate</f>
        <v>2.5</v>
      </c>
      <c r="E54" s="37">
        <f>'HTF-Porch (Lean to)'!Eave</f>
        <v>1.4</v>
      </c>
      <c r="F54" s="27" t="str">
        <f xml:space="preserve"> "" &amp; LabP8815R0L1G2Per</f>
        <v>m</v>
      </c>
      <c r="G54" s="36">
        <f t="shared" si="1"/>
        <v>3.5</v>
      </c>
    </row>
    <row r="55" spans="1:7" x14ac:dyDescent="0.2">
      <c r="A55" s="24" t="str">
        <f>LabP8815R0L1G3Desc</f>
        <v>Verge</v>
      </c>
      <c r="D55" s="36">
        <f>LabP8815R0L1G3Rate</f>
        <v>2.5</v>
      </c>
      <c r="E55" s="37">
        <f>LeftVerge+RightVerge</f>
        <v>1.1000000000000001</v>
      </c>
      <c r="F55" s="27" t="str">
        <f xml:space="preserve"> "" &amp; LabP8815R0L1G3Per</f>
        <v>m</v>
      </c>
      <c r="G55" s="36">
        <f t="shared" si="1"/>
        <v>2.75</v>
      </c>
    </row>
    <row r="56" spans="1:7" x14ac:dyDescent="0.2">
      <c r="A56" s="24" t="str">
        <f>LabP8815R0L1G10Desc</f>
        <v>Abut Courses</v>
      </c>
      <c r="D56" s="36">
        <f>LabP8815R0L1G10Rate</f>
        <v>5</v>
      </c>
      <c r="E56" s="37">
        <f>'HTF-Porch (Lean to)'!AbutCourses</f>
        <v>1.1000000000000001</v>
      </c>
      <c r="F56" s="27" t="str">
        <f xml:space="preserve"> "" &amp; LabP8815R0L1G10Per</f>
        <v>m</v>
      </c>
      <c r="G56" s="36">
        <f t="shared" si="1"/>
        <v>5.5</v>
      </c>
    </row>
    <row r="57" spans="1:7" x14ac:dyDescent="0.2">
      <c r="A57" s="24" t="str">
        <f>LabP8815R15L1G243Desc</f>
        <v>Apron Flashing (Code 4)</v>
      </c>
      <c r="D57" s="36">
        <f>LabP8815R15L1G243Rate</f>
        <v>15</v>
      </c>
      <c r="E57" s="37">
        <v>1.4</v>
      </c>
      <c r="F57" s="27" t="str">
        <f xml:space="preserve"> "" &amp; LabP8815R15L1G243Per</f>
        <v>m</v>
      </c>
      <c r="G57" s="36">
        <f t="shared" si="1"/>
        <v>21</v>
      </c>
    </row>
    <row r="58" spans="1:7" x14ac:dyDescent="0.2">
      <c r="A58" s="24" t="str">
        <f>LabP8815R15L1G274Desc</f>
        <v>Step and Cover Flashing (Code 4)</v>
      </c>
      <c r="D58" s="36">
        <f>LabP8815R15L1G274Rate</f>
        <v>15</v>
      </c>
      <c r="E58" s="37">
        <v>1.1000000000000001</v>
      </c>
      <c r="F58" s="27" t="str">
        <f xml:space="preserve"> "" &amp; LabP8815R15L1G274Per</f>
        <v>m</v>
      </c>
      <c r="G58" s="36">
        <f t="shared" si="1"/>
        <v>16.5</v>
      </c>
    </row>
    <row r="59" spans="1:7" x14ac:dyDescent="0.2">
      <c r="A59" s="24" t="str">
        <f>LabP8815R150LabLabourforPorchesDesc</f>
        <v>Labour for Porches</v>
      </c>
      <c r="D59" s="36">
        <f>LabP8815R150LabLabourforPorchesRate</f>
        <v>150</v>
      </c>
      <c r="E59" s="37">
        <v>1</v>
      </c>
      <c r="F59" s="27" t="str">
        <f xml:space="preserve"> "" &amp; LabP8815R150LabLabourforPorchesPer</f>
        <v/>
      </c>
      <c r="G59" s="36">
        <f t="shared" si="1"/>
        <v>150</v>
      </c>
    </row>
    <row r="60" spans="1:7" x14ac:dyDescent="0.2">
      <c r="D60" s="36"/>
      <c r="E60" s="37"/>
      <c r="F60" s="27"/>
      <c r="G60" s="36"/>
    </row>
    <row r="61" spans="1:7" x14ac:dyDescent="0.2">
      <c r="A61" s="103"/>
      <c r="B61" s="103"/>
      <c r="C61" s="103"/>
      <c r="D61" s="36"/>
      <c r="E61" s="37"/>
      <c r="G61" s="36"/>
    </row>
    <row r="62" spans="1:7" x14ac:dyDescent="0.2">
      <c r="F62" s="34" t="s">
        <v>5</v>
      </c>
      <c r="G62" s="35">
        <f>SUM(G53:G61)</f>
        <v>213.11</v>
      </c>
    </row>
    <row r="66" spans="1:3" x14ac:dyDescent="0.2">
      <c r="A66" s="34"/>
      <c r="B66" s="38"/>
    </row>
    <row r="68" spans="1:3" x14ac:dyDescent="0.2">
      <c r="A68" s="34"/>
      <c r="B68" s="38"/>
    </row>
    <row r="70" spans="1:3" x14ac:dyDescent="0.2">
      <c r="A70" s="34"/>
      <c r="B70" s="38"/>
    </row>
    <row r="72" spans="1:3" x14ac:dyDescent="0.2">
      <c r="A72" s="34"/>
      <c r="B72" s="38"/>
    </row>
    <row r="75" spans="1:3" x14ac:dyDescent="0.2">
      <c r="A75" s="34"/>
      <c r="B75" s="38"/>
      <c r="C75" s="39"/>
    </row>
    <row r="77" spans="1:3" x14ac:dyDescent="0.2">
      <c r="A77" s="34"/>
      <c r="B77" s="38"/>
    </row>
    <row r="79" spans="1:3" x14ac:dyDescent="0.2">
      <c r="A79" s="34"/>
      <c r="B79" s="38"/>
      <c r="C79" s="39"/>
    </row>
    <row r="81" spans="1:3" x14ac:dyDescent="0.2">
      <c r="A81" s="34"/>
      <c r="B81" s="38"/>
    </row>
    <row r="83" spans="1:3" x14ac:dyDescent="0.2">
      <c r="A83" s="34"/>
      <c r="B83" s="38"/>
    </row>
    <row r="86" spans="1:3" x14ac:dyDescent="0.2">
      <c r="A86" s="34"/>
      <c r="B86" s="38"/>
    </row>
    <row r="88" spans="1:3" x14ac:dyDescent="0.2">
      <c r="A88" s="34"/>
      <c r="B88" s="38"/>
    </row>
    <row r="90" spans="1:3" x14ac:dyDescent="0.2">
      <c r="A90" s="34"/>
      <c r="B90" s="38"/>
      <c r="C90" s="39"/>
    </row>
    <row r="93" spans="1:3" x14ac:dyDescent="0.2">
      <c r="A93" s="34"/>
      <c r="B93" s="40"/>
      <c r="C93" s="23"/>
    </row>
    <row r="96" spans="1:3" x14ac:dyDescent="0.2">
      <c r="A96" s="39"/>
      <c r="B96" s="41"/>
    </row>
  </sheetData>
  <mergeCells count="5">
    <mergeCell ref="B4:F4"/>
    <mergeCell ref="B5:F5"/>
    <mergeCell ref="A52:C52"/>
    <mergeCell ref="A53:C53"/>
    <mergeCell ref="A61:C61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A965E-57CB-473E-BBDF-3099E6E3736A}">
  <dimension ref="A1:G105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183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139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94.26</v>
      </c>
      <c r="C9" s="23"/>
      <c r="D9" s="26"/>
    </row>
    <row r="10" spans="1:7" x14ac:dyDescent="0.2">
      <c r="A10" s="23" t="s">
        <v>114</v>
      </c>
      <c r="B10" s="24">
        <v>15.2</v>
      </c>
      <c r="C10" s="23"/>
      <c r="D10" s="26"/>
    </row>
    <row r="11" spans="1:7" x14ac:dyDescent="0.2">
      <c r="A11" s="23" t="s">
        <v>115</v>
      </c>
      <c r="B11" s="24">
        <v>13.23</v>
      </c>
      <c r="C11" s="23"/>
      <c r="D11" s="26"/>
    </row>
    <row r="12" spans="1:7" x14ac:dyDescent="0.2">
      <c r="A12" s="23" t="s">
        <v>116</v>
      </c>
      <c r="B12" s="24">
        <v>13.23</v>
      </c>
      <c r="C12" s="23"/>
      <c r="D12" s="26"/>
    </row>
    <row r="13" spans="1:7" x14ac:dyDescent="0.2">
      <c r="A13" s="23" t="s">
        <v>158</v>
      </c>
      <c r="B13" s="24">
        <v>7.08</v>
      </c>
      <c r="C13" s="23"/>
      <c r="D13" s="26"/>
    </row>
    <row r="14" spans="1:7" x14ac:dyDescent="0.2">
      <c r="A14" s="23" t="s">
        <v>117</v>
      </c>
      <c r="B14" s="24">
        <v>12</v>
      </c>
      <c r="C14" s="23"/>
      <c r="D14" s="26"/>
    </row>
    <row r="15" spans="1:7" x14ac:dyDescent="0.2">
      <c r="A15" s="23" t="s">
        <v>119</v>
      </c>
      <c r="B15" s="24">
        <v>600</v>
      </c>
      <c r="C15" s="23"/>
      <c r="D15" s="26"/>
    </row>
    <row r="16" spans="1:7" x14ac:dyDescent="0.2">
      <c r="A16" s="23" t="s">
        <v>120</v>
      </c>
      <c r="B16" s="24" t="s">
        <v>179</v>
      </c>
      <c r="C16" s="23"/>
      <c r="D16" s="26"/>
    </row>
    <row r="17" spans="1:7" x14ac:dyDescent="0.2">
      <c r="A17" s="23"/>
      <c r="C17" s="23"/>
      <c r="D17" s="26"/>
    </row>
    <row r="18" spans="1:7" x14ac:dyDescent="0.2">
      <c r="A18" s="23"/>
      <c r="B18" s="27"/>
      <c r="C18" s="23"/>
      <c r="D18" s="26"/>
    </row>
    <row r="19" spans="1:7" x14ac:dyDescent="0.2">
      <c r="A19" s="28" t="s">
        <v>10</v>
      </c>
      <c r="B19" s="28"/>
      <c r="C19" s="28"/>
      <c r="D19" s="28"/>
      <c r="E19" s="28"/>
      <c r="F19" s="28"/>
      <c r="G19" s="28"/>
    </row>
    <row r="20" spans="1:7" x14ac:dyDescent="0.2">
      <c r="A20" s="28"/>
      <c r="B20" s="28"/>
      <c r="C20" s="28"/>
      <c r="D20" s="28"/>
      <c r="E20" s="28"/>
      <c r="F20" s="28"/>
      <c r="G20" s="28"/>
    </row>
    <row r="21" spans="1:7" x14ac:dyDescent="0.2">
      <c r="A21" s="29" t="s">
        <v>121</v>
      </c>
      <c r="B21" s="24" t="s">
        <v>122</v>
      </c>
      <c r="C21" s="29"/>
      <c r="D21" s="29"/>
      <c r="E21" s="29"/>
      <c r="F21" s="29"/>
    </row>
    <row r="22" spans="1:7" x14ac:dyDescent="0.2">
      <c r="A22" s="29" t="s">
        <v>123</v>
      </c>
      <c r="B22" s="24" t="s">
        <v>124</v>
      </c>
      <c r="C22" s="29"/>
      <c r="D22" s="29"/>
      <c r="E22" s="29"/>
      <c r="F22" s="29"/>
    </row>
    <row r="23" spans="1:7" x14ac:dyDescent="0.2">
      <c r="A23" s="29"/>
      <c r="B23" s="24" t="s">
        <v>125</v>
      </c>
      <c r="C23" s="29"/>
      <c r="D23" s="29"/>
      <c r="E23" s="29"/>
      <c r="F23" s="29"/>
    </row>
    <row r="24" spans="1:7" x14ac:dyDescent="0.2">
      <c r="A24" s="29" t="s">
        <v>126</v>
      </c>
      <c r="B24" s="24" t="s">
        <v>127</v>
      </c>
      <c r="C24" s="29"/>
      <c r="D24" s="29"/>
      <c r="E24" s="29"/>
      <c r="F24" s="29"/>
    </row>
    <row r="25" spans="1:7" x14ac:dyDescent="0.2">
      <c r="A25" s="29"/>
      <c r="B25" s="24" t="s">
        <v>128</v>
      </c>
      <c r="C25" s="29"/>
      <c r="D25" s="29"/>
      <c r="E25" s="29"/>
      <c r="F25" s="29"/>
    </row>
    <row r="26" spans="1:7" x14ac:dyDescent="0.2">
      <c r="A26" s="29" t="s">
        <v>129</v>
      </c>
      <c r="B26" s="24" t="s">
        <v>130</v>
      </c>
      <c r="C26" s="29"/>
      <c r="D26" s="29"/>
      <c r="E26" s="29"/>
      <c r="F26" s="29"/>
    </row>
    <row r="27" spans="1:7" x14ac:dyDescent="0.2">
      <c r="A27" s="29"/>
      <c r="B27" s="24" t="s">
        <v>159</v>
      </c>
      <c r="C27" s="29"/>
      <c r="D27" s="29"/>
      <c r="E27" s="29"/>
      <c r="F27" s="29"/>
    </row>
    <row r="28" spans="1:7" x14ac:dyDescent="0.2">
      <c r="A28" s="29" t="s">
        <v>160</v>
      </c>
      <c r="B28" s="24" t="s">
        <v>161</v>
      </c>
      <c r="C28" s="29"/>
      <c r="D28" s="29"/>
      <c r="E28" s="29"/>
      <c r="F28" s="29"/>
    </row>
    <row r="29" spans="1:7" x14ac:dyDescent="0.2">
      <c r="A29" s="29" t="s">
        <v>132</v>
      </c>
      <c r="B29" s="24" t="s">
        <v>133</v>
      </c>
      <c r="C29" s="29"/>
      <c r="D29" s="29"/>
      <c r="E29" s="29"/>
      <c r="F29" s="29"/>
    </row>
    <row r="30" spans="1:7" x14ac:dyDescent="0.2">
      <c r="A30" s="29" t="s">
        <v>134</v>
      </c>
      <c r="B30" s="24" t="s">
        <v>135</v>
      </c>
      <c r="C30" s="29"/>
      <c r="D30" s="29"/>
      <c r="E30" s="29"/>
      <c r="F30" s="29"/>
    </row>
    <row r="31" spans="1:7" x14ac:dyDescent="0.2">
      <c r="A31" s="29" t="s">
        <v>136</v>
      </c>
      <c r="B31" s="24" t="s">
        <v>137</v>
      </c>
      <c r="C31" s="29"/>
      <c r="D31" s="29"/>
      <c r="E31" s="29"/>
      <c r="F31" s="29"/>
    </row>
    <row r="32" spans="1:7" x14ac:dyDescent="0.2">
      <c r="A32" s="29"/>
      <c r="B32" s="24" t="s">
        <v>162</v>
      </c>
      <c r="C32" s="29"/>
      <c r="D32" s="29"/>
      <c r="E32" s="29"/>
      <c r="F32" s="29"/>
    </row>
    <row r="33" spans="1:7" x14ac:dyDescent="0.2">
      <c r="A33" s="29"/>
      <c r="C33" s="29"/>
      <c r="D33" s="29"/>
      <c r="E33" s="29"/>
      <c r="F33" s="29"/>
    </row>
    <row r="34" spans="1:7" x14ac:dyDescent="0.2">
      <c r="A34" s="29"/>
      <c r="C34" s="29"/>
      <c r="D34" s="29"/>
      <c r="E34" s="29"/>
      <c r="F34" s="29"/>
    </row>
    <row r="35" spans="1:7" x14ac:dyDescent="0.2">
      <c r="A35" s="25" t="s">
        <v>14</v>
      </c>
      <c r="B35" s="25"/>
      <c r="C35" s="25"/>
      <c r="D35" s="25"/>
      <c r="E35" s="25"/>
      <c r="F35" s="25"/>
      <c r="G35" s="25"/>
    </row>
    <row r="37" spans="1:7" s="29" customFormat="1" x14ac:dyDescent="0.2">
      <c r="A37" s="29" t="s">
        <v>25</v>
      </c>
      <c r="B37" s="29" t="s">
        <v>38</v>
      </c>
      <c r="C37" s="29" t="s">
        <v>2</v>
      </c>
      <c r="D37" s="30" t="s">
        <v>9</v>
      </c>
      <c r="E37" s="30" t="s">
        <v>3</v>
      </c>
      <c r="F37" s="30" t="s">
        <v>4</v>
      </c>
      <c r="G37" s="30" t="s">
        <v>16</v>
      </c>
    </row>
    <row r="38" spans="1:7" x14ac:dyDescent="0.2">
      <c r="A38" s="24" t="str">
        <f>MatP8815C0Colour</f>
        <v>Not Specified</v>
      </c>
      <c r="B38" s="24" t="str">
        <f>IF(MatP8815C0Code=0,"",MatP8815C0Code)</f>
        <v/>
      </c>
      <c r="C38" s="24" t="str">
        <f>MatP8815C0Desc</f>
        <v>TLE Tile</v>
      </c>
      <c r="D38" s="31">
        <v>973</v>
      </c>
      <c r="E38" s="32">
        <f>MatP8815C0Price</f>
        <v>1.2</v>
      </c>
      <c r="F38" s="33" t="str">
        <f>MatP8815C0PerText</f>
        <v>Each</v>
      </c>
      <c r="G38" s="32">
        <f t="shared" ref="G38:G57" si="0">D38 * E38</f>
        <v>1167.5999999999999</v>
      </c>
    </row>
    <row r="39" spans="1:7" x14ac:dyDescent="0.2">
      <c r="A39" s="24" t="str">
        <f>MatP8870C0Colour</f>
        <v>Not Specified</v>
      </c>
      <c r="B39" s="24" t="str">
        <f>IF(MatP8870C0Code=0,"",MatP8870C0Code)</f>
        <v/>
      </c>
      <c r="C39" s="24" t="str">
        <f>MatP8870C0Desc</f>
        <v>Ridge Tile (450mm)</v>
      </c>
      <c r="D39" s="31">
        <v>28</v>
      </c>
      <c r="E39" s="32">
        <f>MatP8870C0Price</f>
        <v>3.64</v>
      </c>
      <c r="F39" s="33" t="str">
        <f>MatP8870C0PerText</f>
        <v>Each</v>
      </c>
      <c r="G39" s="32">
        <f t="shared" si="0"/>
        <v>101.92</v>
      </c>
    </row>
    <row r="40" spans="1:7" x14ac:dyDescent="0.2">
      <c r="A40" s="24" t="str">
        <f>MatP10135C0Colour</f>
        <v>Not Specified</v>
      </c>
      <c r="B40" s="24" t="str">
        <f>IF(MatP10135C0Code=0,"",MatP10135C0Code)</f>
        <v/>
      </c>
      <c r="C40" s="24" t="str">
        <f>MatP10135C0Desc</f>
        <v>VP300 Vapour Permeable Underlay (50m x 1m)</v>
      </c>
      <c r="D40" s="31">
        <v>2.9999999403953552</v>
      </c>
      <c r="E40" s="32">
        <f>MatP10135C0Price</f>
        <v>35</v>
      </c>
      <c r="F40" s="33" t="str">
        <f>MatP10135C0PerText</f>
        <v>Roll</v>
      </c>
      <c r="G40" s="32">
        <f t="shared" si="0"/>
        <v>104.99999791383743</v>
      </c>
    </row>
    <row r="41" spans="1:7" x14ac:dyDescent="0.2">
      <c r="A41" s="24" t="str">
        <f>MatP9008C0Colour</f>
        <v>Not Specified</v>
      </c>
      <c r="B41" s="24" t="str">
        <f>IF(MatP9008C0Code=0,"",MatP9008C0Code)</f>
        <v/>
      </c>
      <c r="C41" s="24" t="str">
        <f>MatP9008C0Desc</f>
        <v>Battens (50mm x 25mm)</v>
      </c>
      <c r="D41" s="31">
        <v>342</v>
      </c>
      <c r="E41" s="32">
        <f>MatP9008C0Price</f>
        <v>0.9</v>
      </c>
      <c r="F41" s="33" t="str">
        <f>MatP9008C0PerText</f>
        <v>Metre</v>
      </c>
      <c r="G41" s="32">
        <f t="shared" si="0"/>
        <v>307.8</v>
      </c>
    </row>
    <row r="42" spans="1:7" x14ac:dyDescent="0.2">
      <c r="A42" s="24" t="str">
        <f>MatP8879C15Colour</f>
        <v>Not Specified</v>
      </c>
      <c r="B42" s="24" t="str">
        <f>IF(MatP8879C15Code=0,"",MatP8879C15Code)</f>
        <v/>
      </c>
      <c r="C42" s="24" t="str">
        <f>MatP8879C15Desc</f>
        <v>Universal Dry Ridge/Hip System (6m)</v>
      </c>
      <c r="D42" s="31">
        <v>2</v>
      </c>
      <c r="E42" s="32">
        <f>MatP8879C15Price</f>
        <v>28.09</v>
      </c>
      <c r="F42" s="33" t="str">
        <f>MatP8879C15PerText</f>
        <v>Pack</v>
      </c>
      <c r="G42" s="32">
        <f t="shared" si="0"/>
        <v>56.18</v>
      </c>
    </row>
    <row r="43" spans="1:7" x14ac:dyDescent="0.2">
      <c r="A43" s="24" t="str">
        <f>MatP8857C0Colour</f>
        <v>Not Specified</v>
      </c>
      <c r="B43" s="24" t="str">
        <f>IF(MatP8857C0Code=0,"",MatP8857C0Code)</f>
        <v/>
      </c>
      <c r="C43" s="24" t="str">
        <f>MatP8857C0Desc</f>
        <v>LH Uni-Fix Dry Verge Unit</v>
      </c>
      <c r="D43" s="31">
        <v>80</v>
      </c>
      <c r="E43" s="32">
        <f>MatP8857C0Price</f>
        <v>1.1000000000000001</v>
      </c>
      <c r="F43" s="33" t="str">
        <f>MatP8857C0PerText</f>
        <v>Each</v>
      </c>
      <c r="G43" s="32">
        <f t="shared" si="0"/>
        <v>88</v>
      </c>
    </row>
    <row r="44" spans="1:7" x14ac:dyDescent="0.2">
      <c r="A44" s="24" t="str">
        <f>MatP8869C0Colour</f>
        <v>Not Specified</v>
      </c>
      <c r="B44" s="24" t="str">
        <f>IF(MatP8869C0Code=0,"",MatP8869C0Code)</f>
        <v/>
      </c>
      <c r="C44" s="24" t="str">
        <f>MatP8869C0Desc</f>
        <v>RH Uni-Fix Dry Verge Unit</v>
      </c>
      <c r="D44" s="31">
        <v>80</v>
      </c>
      <c r="E44" s="32">
        <f>MatP8869C0Price</f>
        <v>1.1000000000000001</v>
      </c>
      <c r="F44" s="33" t="str">
        <f>MatP8869C0PerText</f>
        <v>Each</v>
      </c>
      <c r="G44" s="32">
        <f t="shared" si="0"/>
        <v>88</v>
      </c>
    </row>
    <row r="45" spans="1:7" x14ac:dyDescent="0.2">
      <c r="A45" s="24" t="str">
        <f>MatP8877C0Colour</f>
        <v>Not Specified</v>
      </c>
      <c r="B45" s="24" t="str">
        <f>IF(MatP8877C0Code=0,"",MatP8877C0Code)</f>
        <v/>
      </c>
      <c r="C45" s="24" t="str">
        <f>MatP8877C0Desc</f>
        <v>Uni-Fix Universal Ridge End Cap</v>
      </c>
      <c r="D45" s="31">
        <v>3</v>
      </c>
      <c r="E45" s="32">
        <f>MatP8877C0Price</f>
        <v>1.6</v>
      </c>
      <c r="F45" s="33" t="str">
        <f>MatP8877C0PerText</f>
        <v>Each</v>
      </c>
      <c r="G45" s="32">
        <f t="shared" si="0"/>
        <v>4.8000000000000007</v>
      </c>
    </row>
    <row r="46" spans="1:7" x14ac:dyDescent="0.2">
      <c r="A46" s="24" t="str">
        <f>MatP8830C20Colour</f>
        <v>Not Specified</v>
      </c>
      <c r="B46" s="24" t="str">
        <f>IF(MatP8830C20Code=0,"",MatP8830C20Code)</f>
        <v/>
      </c>
      <c r="C46" s="24" t="str">
        <f>MatP8830C20Desc</f>
        <v>Dry Verge Starter Unit</v>
      </c>
      <c r="D46" s="31">
        <v>5</v>
      </c>
      <c r="E46" s="32">
        <f>MatP8830C20Price</f>
        <v>1.51</v>
      </c>
      <c r="F46" s="33" t="str">
        <f>MatP8830C20PerText</f>
        <v>Each</v>
      </c>
      <c r="G46" s="32">
        <f t="shared" si="0"/>
        <v>7.55</v>
      </c>
    </row>
    <row r="47" spans="1:7" x14ac:dyDescent="0.2">
      <c r="A47" s="24" t="str">
        <f>MatP8820C20Colour</f>
        <v>Not Specified</v>
      </c>
      <c r="B47" s="24" t="str">
        <f>IF(MatP8820C20Code=0,"",MatP8820C20Code)</f>
        <v/>
      </c>
      <c r="C47" s="24" t="str">
        <f>MatP8820C20Desc</f>
        <v>10mm Over Fascia Vent (1m)</v>
      </c>
      <c r="D47" s="31">
        <v>16</v>
      </c>
      <c r="E47" s="32">
        <f>MatP8820C20Price</f>
        <v>1.7</v>
      </c>
      <c r="F47" s="33" t="str">
        <f>MatP8820C20PerText</f>
        <v>Each</v>
      </c>
      <c r="G47" s="32">
        <f t="shared" si="0"/>
        <v>27.2</v>
      </c>
    </row>
    <row r="48" spans="1:7" x14ac:dyDescent="0.2">
      <c r="A48" s="24" t="str">
        <f>MatP8281C0Colour</f>
        <v>Not Specified</v>
      </c>
      <c r="B48" s="24" t="str">
        <f>IF(MatP8281C0Code=0,"",MatP8281C0Code)</f>
        <v/>
      </c>
      <c r="C48" s="24" t="str">
        <f>MatP8281C0Desc</f>
        <v>Generic Eave Insulation (1m)</v>
      </c>
      <c r="D48" s="31">
        <v>16</v>
      </c>
      <c r="E48" s="32">
        <f>MatP8281C0Price</f>
        <v>5</v>
      </c>
      <c r="F48" s="33" t="str">
        <f>MatP8281C0PerText</f>
        <v>Each</v>
      </c>
      <c r="G48" s="32">
        <f t="shared" si="0"/>
        <v>80</v>
      </c>
    </row>
    <row r="49" spans="1:7" x14ac:dyDescent="0.2">
      <c r="A49" s="24" t="str">
        <f>MatP8866C20Colour</f>
        <v>Not Specified</v>
      </c>
      <c r="B49" s="24" t="str">
        <f>IF(MatP8866C20Code=0,"",MatP8866C20Code)</f>
        <v/>
      </c>
      <c r="C49" s="24" t="str">
        <f>MatP8866C20Desc</f>
        <v>Rafter Roll (6m x 600mm)</v>
      </c>
      <c r="D49" s="31">
        <v>3</v>
      </c>
      <c r="E49" s="32">
        <f>MatP8866C20Price</f>
        <v>9.5</v>
      </c>
      <c r="F49" s="33" t="str">
        <f>MatP8866C20PerText</f>
        <v>Each</v>
      </c>
      <c r="G49" s="32">
        <f t="shared" si="0"/>
        <v>28.5</v>
      </c>
    </row>
    <row r="50" spans="1:7" x14ac:dyDescent="0.2">
      <c r="A50" s="24" t="str">
        <f>MatP8874C20Colour</f>
        <v>Not Specified</v>
      </c>
      <c r="B50" s="24" t="str">
        <f>IF(MatP8874C20Code=0,"",MatP8874C20Code)</f>
        <v/>
      </c>
      <c r="C50" s="24" t="str">
        <f>MatP8874C20Desc</f>
        <v>Underlay Support Tray (1.5m)</v>
      </c>
      <c r="D50" s="31">
        <v>11</v>
      </c>
      <c r="E50" s="32">
        <f>MatP8874C20Price</f>
        <v>1.5</v>
      </c>
      <c r="F50" s="33" t="str">
        <f>MatP8874C20PerText</f>
        <v>Each</v>
      </c>
      <c r="G50" s="32">
        <f t="shared" si="0"/>
        <v>16.5</v>
      </c>
    </row>
    <row r="51" spans="1:7" x14ac:dyDescent="0.2">
      <c r="A51" s="24" t="str">
        <f>MatP8838C92Colour</f>
        <v>Not Specified</v>
      </c>
      <c r="B51" s="24" t="str">
        <f>IF(MatP8838C92Code=0,"",MatP8838C92Code)</f>
        <v/>
      </c>
      <c r="C51" s="24" t="str">
        <f>MatP8838C92Desc</f>
        <v>GRP Dry Fix Valley Trough - Over Batten Fix (3m x 400mm x 70mm)</v>
      </c>
      <c r="D51" s="31">
        <v>4</v>
      </c>
      <c r="E51" s="32">
        <f>MatP8838C92Price</f>
        <v>32.5</v>
      </c>
      <c r="F51" s="33" t="str">
        <f>MatP8838C92PerText</f>
        <v>Each</v>
      </c>
      <c r="G51" s="32">
        <f t="shared" si="0"/>
        <v>130</v>
      </c>
    </row>
    <row r="52" spans="1:7" x14ac:dyDescent="0.2">
      <c r="A52" s="24" t="str">
        <f>MatP8872C539Colour</f>
        <v>Not Specified</v>
      </c>
      <c r="B52" s="24" t="str">
        <f>IF(MatP8872C539Code=0,"",MatP8872C539Code)</f>
        <v/>
      </c>
      <c r="C52" s="24" t="str">
        <f>MatP8872C539Desc</f>
        <v>Sidelock Tile Clips (TLE)</v>
      </c>
      <c r="D52" s="31">
        <v>348</v>
      </c>
      <c r="E52" s="32">
        <f>MatP8872C539Price</f>
        <v>7.0000000000000007E-2</v>
      </c>
      <c r="F52" s="33" t="str">
        <f>MatP8872C539PerText</f>
        <v>Each</v>
      </c>
      <c r="G52" s="32">
        <f t="shared" si="0"/>
        <v>24.360000000000003</v>
      </c>
    </row>
    <row r="53" spans="1:7" x14ac:dyDescent="0.2">
      <c r="A53" s="24" t="str">
        <f>MatP8826C539Colour</f>
        <v>Not Specified</v>
      </c>
      <c r="B53" s="24" t="str">
        <f>IF(MatP8826C539Code=0,"",MatP8826C539Code)</f>
        <v/>
      </c>
      <c r="C53" s="24" t="str">
        <f>MatP8826C539Desc</f>
        <v>Metal Batten End Clips</v>
      </c>
      <c r="D53" s="31">
        <v>80</v>
      </c>
      <c r="E53" s="32">
        <f>MatP8826C539Price</f>
        <v>0.28000000000000003</v>
      </c>
      <c r="F53" s="33" t="str">
        <f>MatP8826C539PerText</f>
        <v>Each</v>
      </c>
      <c r="G53" s="32">
        <f t="shared" si="0"/>
        <v>22.400000000000002</v>
      </c>
    </row>
    <row r="54" spans="1:7" x14ac:dyDescent="0.2">
      <c r="A54" s="24" t="str">
        <f>MatP8831C539Colour</f>
        <v>Not Specified</v>
      </c>
      <c r="B54" s="24" t="str">
        <f>IF(MatP8831C539Code=0,"",MatP8831C539Code)</f>
        <v/>
      </c>
      <c r="C54" s="24" t="str">
        <f>MatP8831C539Desc</f>
        <v>Eave Clip</v>
      </c>
      <c r="D54" s="31">
        <v>52</v>
      </c>
      <c r="E54" s="32">
        <f>MatP8831C539Price</f>
        <v>0.1</v>
      </c>
      <c r="F54" s="33" t="str">
        <f>MatP8831C539PerText</f>
        <v>Each</v>
      </c>
      <c r="G54" s="32">
        <f t="shared" si="0"/>
        <v>5.2</v>
      </c>
    </row>
    <row r="55" spans="1:7" x14ac:dyDescent="0.2">
      <c r="A55" s="24" t="str">
        <f>MatP9318C0Colour</f>
        <v>Not Specified</v>
      </c>
      <c r="B55" s="24" t="str">
        <f>IF(MatP9318C0Code=0,"",MatP9318C0Code)</f>
        <v/>
      </c>
      <c r="C55" s="24" t="str">
        <f>MatP9318C0Desc</f>
        <v>45mm x 3.35mm Aluminium Nails</v>
      </c>
      <c r="D55" s="31">
        <v>3.0000000596046448</v>
      </c>
      <c r="E55" s="32">
        <f>MatP9318C0Price</f>
        <v>7.28</v>
      </c>
      <c r="F55" s="33" t="str">
        <f>MatP9318C0PerText</f>
        <v>Kg</v>
      </c>
      <c r="G55" s="32">
        <f t="shared" si="0"/>
        <v>21.840000433921816</v>
      </c>
    </row>
    <row r="56" spans="1:7" x14ac:dyDescent="0.2">
      <c r="A56" s="24" t="str">
        <f>MatP9100C0Colour</f>
        <v>Not Specified</v>
      </c>
      <c r="B56" s="24" t="str">
        <f>IF(MatP9100C0Code=0,"",MatP9100C0Code)</f>
        <v/>
      </c>
      <c r="C56" s="24" t="str">
        <f>MatP9100C0Desc</f>
        <v>Batten Nails - 65mm x 3.35mm Galvanised</v>
      </c>
      <c r="D56" s="31">
        <v>3</v>
      </c>
      <c r="E56" s="32">
        <f>MatP9100C0Price</f>
        <v>4.5</v>
      </c>
      <c r="F56" s="33" t="str">
        <f>MatP9100C0PerText</f>
        <v>Kg</v>
      </c>
      <c r="G56" s="32">
        <f t="shared" si="0"/>
        <v>13.5</v>
      </c>
    </row>
    <row r="57" spans="1:7" x14ac:dyDescent="0.2">
      <c r="A57" s="24" t="str">
        <f>MatLeadValleySaddleColour</f>
        <v>Not Specified</v>
      </c>
      <c r="B57" s="24" t="str">
        <f>IF(MatLeadValleySaddleCode=0,"",MatLeadValleySaddleCode)</f>
        <v/>
      </c>
      <c r="C57" s="24" t="str">
        <f>MatLeadValleySaddleDesc</f>
        <v>Lead Valley Saddle</v>
      </c>
      <c r="D57" s="31">
        <v>1</v>
      </c>
      <c r="E57" s="32">
        <f>MatLeadValleySaddlePrice</f>
        <v>15</v>
      </c>
      <c r="F57" s="33" t="str">
        <f>MatLeadValleySaddlePerText</f>
        <v>Each</v>
      </c>
      <c r="G57" s="32">
        <f t="shared" si="0"/>
        <v>15</v>
      </c>
    </row>
    <row r="58" spans="1:7" x14ac:dyDescent="0.2">
      <c r="D58" s="31"/>
      <c r="E58" s="32"/>
      <c r="F58" s="33"/>
      <c r="G58" s="32"/>
    </row>
    <row r="59" spans="1:7" x14ac:dyDescent="0.2">
      <c r="F59" s="34" t="s">
        <v>5</v>
      </c>
      <c r="G59" s="35">
        <f>SUM(G38:G58)</f>
        <v>2311.3499983477595</v>
      </c>
    </row>
    <row r="60" spans="1:7" x14ac:dyDescent="0.2">
      <c r="G60" s="34"/>
    </row>
    <row r="61" spans="1:7" x14ac:dyDescent="0.2">
      <c r="A61" s="25" t="s">
        <v>15</v>
      </c>
      <c r="B61" s="25"/>
      <c r="D61" s="25"/>
      <c r="E61" s="25"/>
      <c r="F61" s="25"/>
      <c r="G61" s="25"/>
    </row>
    <row r="63" spans="1:7" x14ac:dyDescent="0.2">
      <c r="A63" s="102" t="s">
        <v>6</v>
      </c>
      <c r="B63" s="102"/>
      <c r="C63" s="102"/>
      <c r="D63" s="34" t="s">
        <v>7</v>
      </c>
      <c r="E63" s="34" t="s">
        <v>9</v>
      </c>
      <c r="F63" s="34" t="s">
        <v>8</v>
      </c>
      <c r="G63" s="34" t="s">
        <v>16</v>
      </c>
    </row>
    <row r="64" spans="1:7" x14ac:dyDescent="0.2">
      <c r="A64" s="103" t="str">
        <f>LabP8815R6L1G1Desc</f>
        <v>Main Area</v>
      </c>
      <c r="B64" s="103"/>
      <c r="C64" s="103"/>
      <c r="D64" s="36">
        <f>LabP8815R6L1G1Rate</f>
        <v>9</v>
      </c>
      <c r="E64" s="37">
        <f>'KND-Main Roof'!Area</f>
        <v>94.26</v>
      </c>
      <c r="F64" s="27" t="str">
        <f xml:space="preserve"> "" &amp; LabP8815R6L1G1Per</f>
        <v>m²</v>
      </c>
      <c r="G64" s="36">
        <f>D64 * E64</f>
        <v>848.34</v>
      </c>
    </row>
    <row r="65" spans="1:7" x14ac:dyDescent="0.2">
      <c r="A65" s="24" t="str">
        <f>LabP8815R0L1G2Desc</f>
        <v>Eave</v>
      </c>
      <c r="D65" s="36">
        <f>LabP8815R0L1G2Rate</f>
        <v>2.5</v>
      </c>
      <c r="E65" s="37">
        <f>'KND-Main Roof'!Eave</f>
        <v>15.2</v>
      </c>
      <c r="F65" s="27" t="str">
        <f xml:space="preserve"> "" &amp; LabP8815R0L1G2Per</f>
        <v>m</v>
      </c>
      <c r="G65" s="36">
        <f>D65 * E65</f>
        <v>38</v>
      </c>
    </row>
    <row r="66" spans="1:7" x14ac:dyDescent="0.2">
      <c r="A66" s="24" t="str">
        <f>LabP8815R0L1G3Desc</f>
        <v>Verge</v>
      </c>
      <c r="D66" s="36">
        <f>LabP8815R0L1G3Rate</f>
        <v>2.5</v>
      </c>
      <c r="E66" s="37">
        <f>LeftVerge+RightVerge</f>
        <v>26.46</v>
      </c>
      <c r="F66" s="27" t="str">
        <f xml:space="preserve"> "" &amp; LabP8815R0L1G3Per</f>
        <v>m</v>
      </c>
      <c r="G66" s="36">
        <f>D66 * E66</f>
        <v>66.150000000000006</v>
      </c>
    </row>
    <row r="67" spans="1:7" x14ac:dyDescent="0.2">
      <c r="A67" s="24" t="str">
        <f>LabP8815R15L1G7Desc</f>
        <v>Valley</v>
      </c>
      <c r="D67" s="36">
        <f>LabP8815R15L1G7Rate</f>
        <v>15</v>
      </c>
      <c r="E67" s="37">
        <f>'KND-Main Roof'!Valley</f>
        <v>7.08</v>
      </c>
      <c r="F67" s="27" t="str">
        <f xml:space="preserve"> "" &amp; LabP8815R15L1G7Per</f>
        <v>m</v>
      </c>
      <c r="G67" s="36">
        <f>D67 * E67</f>
        <v>106.2</v>
      </c>
    </row>
    <row r="68" spans="1:7" x14ac:dyDescent="0.2">
      <c r="A68" s="24" t="str">
        <f>LabP8815R0L1G8Desc</f>
        <v>Duo Ridge</v>
      </c>
      <c r="D68" s="36">
        <f>LabP8815R0L1G8Rate</f>
        <v>2.5</v>
      </c>
      <c r="E68" s="37">
        <f>'KND-Main Roof'!DuoRidge</f>
        <v>12</v>
      </c>
      <c r="F68" s="27" t="str">
        <f xml:space="preserve"> "" &amp; LabP8815R0L1G8Per</f>
        <v>m</v>
      </c>
      <c r="G68" s="36">
        <f>D68 * E68</f>
        <v>30</v>
      </c>
    </row>
    <row r="69" spans="1:7" x14ac:dyDescent="0.2">
      <c r="D69" s="36"/>
      <c r="E69" s="37"/>
      <c r="F69" s="27"/>
      <c r="G69" s="36"/>
    </row>
    <row r="70" spans="1:7" x14ac:dyDescent="0.2">
      <c r="A70" s="103"/>
      <c r="B70" s="103"/>
      <c r="C70" s="103"/>
      <c r="D70" s="36"/>
      <c r="E70" s="37"/>
      <c r="G70" s="36"/>
    </row>
    <row r="71" spans="1:7" x14ac:dyDescent="0.2">
      <c r="F71" s="34" t="s">
        <v>5</v>
      </c>
      <c r="G71" s="35">
        <f>SUM(G64:G70)</f>
        <v>1088.69</v>
      </c>
    </row>
    <row r="75" spans="1:7" x14ac:dyDescent="0.2">
      <c r="A75" s="34"/>
      <c r="B75" s="38"/>
    </row>
    <row r="77" spans="1:7" x14ac:dyDescent="0.2">
      <c r="A77" s="34"/>
      <c r="B77" s="38"/>
    </row>
    <row r="79" spans="1:7" x14ac:dyDescent="0.2">
      <c r="A79" s="34"/>
      <c r="B79" s="38"/>
    </row>
    <row r="81" spans="1:3" x14ac:dyDescent="0.2">
      <c r="A81" s="34"/>
      <c r="B81" s="38"/>
    </row>
    <row r="84" spans="1:3" x14ac:dyDescent="0.2">
      <c r="A84" s="34"/>
      <c r="B84" s="38"/>
      <c r="C84" s="39"/>
    </row>
    <row r="86" spans="1:3" x14ac:dyDescent="0.2">
      <c r="A86" s="34"/>
      <c r="B86" s="38"/>
    </row>
    <row r="88" spans="1:3" x14ac:dyDescent="0.2">
      <c r="A88" s="34"/>
      <c r="B88" s="38"/>
      <c r="C88" s="39"/>
    </row>
    <row r="90" spans="1:3" x14ac:dyDescent="0.2">
      <c r="A90" s="34"/>
      <c r="B90" s="38"/>
    </row>
    <row r="92" spans="1:3" x14ac:dyDescent="0.2">
      <c r="A92" s="34"/>
      <c r="B92" s="38"/>
    </row>
    <row r="95" spans="1:3" x14ac:dyDescent="0.2">
      <c r="A95" s="34"/>
      <c r="B95" s="38"/>
    </row>
    <row r="97" spans="1:3" x14ac:dyDescent="0.2">
      <c r="A97" s="34"/>
      <c r="B97" s="38"/>
    </row>
    <row r="99" spans="1:3" x14ac:dyDescent="0.2">
      <c r="A99" s="34"/>
      <c r="B99" s="38"/>
      <c r="C99" s="39"/>
    </row>
    <row r="102" spans="1:3" x14ac:dyDescent="0.2">
      <c r="A102" s="34"/>
      <c r="B102" s="40"/>
      <c r="C102" s="23"/>
    </row>
    <row r="105" spans="1:3" x14ac:dyDescent="0.2">
      <c r="A105" s="39"/>
      <c r="B105" s="41"/>
    </row>
  </sheetData>
  <mergeCells count="5">
    <mergeCell ref="B4:F4"/>
    <mergeCell ref="B5:F5"/>
    <mergeCell ref="A63:C63"/>
    <mergeCell ref="A64:C64"/>
    <mergeCell ref="A70:C70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EA243-8606-4918-A9D9-C9F8C110F48B}">
  <dimension ref="A1:G95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183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145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1.32</v>
      </c>
      <c r="C9" s="23"/>
      <c r="D9" s="26"/>
    </row>
    <row r="10" spans="1:7" x14ac:dyDescent="0.2">
      <c r="A10" s="23" t="s">
        <v>114</v>
      </c>
      <c r="B10" s="24">
        <v>1.2</v>
      </c>
      <c r="C10" s="23"/>
      <c r="D10" s="26"/>
    </row>
    <row r="11" spans="1:7" x14ac:dyDescent="0.2">
      <c r="A11" s="23" t="s">
        <v>141</v>
      </c>
      <c r="B11" s="24">
        <v>1.2</v>
      </c>
      <c r="C11" s="23"/>
      <c r="D11" s="26"/>
    </row>
    <row r="12" spans="1:7" x14ac:dyDescent="0.2">
      <c r="A12" s="23" t="s">
        <v>115</v>
      </c>
      <c r="B12" s="24">
        <v>1.1000000000000001</v>
      </c>
      <c r="C12" s="23"/>
      <c r="D12" s="26"/>
    </row>
    <row r="13" spans="1:7" x14ac:dyDescent="0.2">
      <c r="A13" s="23" t="s">
        <v>116</v>
      </c>
      <c r="B13" s="24">
        <v>0</v>
      </c>
      <c r="C13" s="23"/>
      <c r="D13" s="26"/>
    </row>
    <row r="14" spans="1:7" x14ac:dyDescent="0.2">
      <c r="A14" s="23" t="s">
        <v>153</v>
      </c>
      <c r="B14" s="24">
        <v>1.1000000000000001</v>
      </c>
      <c r="C14" s="23"/>
      <c r="D14" s="26"/>
    </row>
    <row r="15" spans="1:7" x14ac:dyDescent="0.2">
      <c r="A15" s="23" t="s">
        <v>119</v>
      </c>
      <c r="B15" s="24">
        <v>600</v>
      </c>
      <c r="C15" s="23"/>
      <c r="D15" s="26"/>
    </row>
    <row r="16" spans="1:7" x14ac:dyDescent="0.2">
      <c r="A16" s="23" t="s">
        <v>120</v>
      </c>
      <c r="B16" s="24">
        <v>35</v>
      </c>
      <c r="C16" s="23"/>
      <c r="D16" s="26"/>
    </row>
    <row r="17" spans="1:7" x14ac:dyDescent="0.2">
      <c r="A17" s="23"/>
      <c r="C17" s="23"/>
      <c r="D17" s="26"/>
    </row>
    <row r="18" spans="1:7" x14ac:dyDescent="0.2">
      <c r="A18" s="23"/>
      <c r="B18" s="27"/>
      <c r="C18" s="23"/>
      <c r="D18" s="26"/>
    </row>
    <row r="19" spans="1:7" x14ac:dyDescent="0.2">
      <c r="A19" s="28" t="s">
        <v>10</v>
      </c>
      <c r="B19" s="28"/>
      <c r="C19" s="28"/>
      <c r="D19" s="28"/>
      <c r="E19" s="28"/>
      <c r="F19" s="28"/>
      <c r="G19" s="28"/>
    </row>
    <row r="20" spans="1:7" x14ac:dyDescent="0.2">
      <c r="A20" s="28"/>
      <c r="B20" s="28"/>
      <c r="C20" s="28"/>
      <c r="D20" s="28"/>
      <c r="E20" s="28"/>
      <c r="F20" s="28"/>
      <c r="G20" s="28"/>
    </row>
    <row r="21" spans="1:7" x14ac:dyDescent="0.2">
      <c r="A21" s="29" t="s">
        <v>121</v>
      </c>
      <c r="B21" s="24" t="s">
        <v>122</v>
      </c>
      <c r="C21" s="29"/>
      <c r="D21" s="29"/>
      <c r="E21" s="29"/>
      <c r="F21" s="29"/>
    </row>
    <row r="22" spans="1:7" x14ac:dyDescent="0.2">
      <c r="A22" s="29" t="s">
        <v>123</v>
      </c>
      <c r="B22" s="24" t="s">
        <v>124</v>
      </c>
      <c r="C22" s="29"/>
      <c r="D22" s="29"/>
      <c r="E22" s="29"/>
      <c r="F22" s="29"/>
    </row>
    <row r="23" spans="1:7" x14ac:dyDescent="0.2">
      <c r="A23" s="29"/>
      <c r="B23" s="24" t="s">
        <v>154</v>
      </c>
      <c r="C23" s="29"/>
      <c r="D23" s="29"/>
      <c r="E23" s="29"/>
      <c r="F23" s="29"/>
    </row>
    <row r="24" spans="1:7" x14ac:dyDescent="0.2">
      <c r="A24" s="29" t="s">
        <v>126</v>
      </c>
      <c r="B24" s="24" t="s">
        <v>127</v>
      </c>
      <c r="C24" s="29"/>
      <c r="D24" s="29"/>
      <c r="E24" s="29"/>
      <c r="F24" s="29"/>
    </row>
    <row r="25" spans="1:7" x14ac:dyDescent="0.2">
      <c r="A25" s="29"/>
      <c r="B25" s="24" t="s">
        <v>67</v>
      </c>
      <c r="C25" s="29"/>
      <c r="D25" s="29"/>
      <c r="E25" s="29"/>
      <c r="F25" s="29"/>
    </row>
    <row r="26" spans="1:7" x14ac:dyDescent="0.2">
      <c r="A26" s="29" t="s">
        <v>129</v>
      </c>
      <c r="B26" s="24" t="s">
        <v>130</v>
      </c>
      <c r="C26" s="29"/>
      <c r="D26" s="29"/>
      <c r="E26" s="29"/>
      <c r="F26" s="29"/>
    </row>
    <row r="27" spans="1:7" x14ac:dyDescent="0.2">
      <c r="A27" s="29" t="s">
        <v>134</v>
      </c>
      <c r="B27" s="24" t="s">
        <v>135</v>
      </c>
      <c r="C27" s="29"/>
      <c r="D27" s="29"/>
      <c r="E27" s="29"/>
      <c r="F27" s="29"/>
    </row>
    <row r="28" spans="1:7" x14ac:dyDescent="0.2">
      <c r="A28" s="29" t="s">
        <v>143</v>
      </c>
      <c r="B28" s="24" t="s">
        <v>144</v>
      </c>
      <c r="C28" s="29"/>
      <c r="D28" s="29"/>
      <c r="E28" s="29"/>
      <c r="F28" s="29"/>
    </row>
    <row r="29" spans="1:7" x14ac:dyDescent="0.2">
      <c r="A29" s="29"/>
      <c r="B29" s="24" t="s">
        <v>155</v>
      </c>
      <c r="C29" s="29"/>
      <c r="D29" s="29"/>
      <c r="E29" s="29"/>
      <c r="F29" s="29"/>
    </row>
    <row r="30" spans="1:7" x14ac:dyDescent="0.2">
      <c r="A30" s="29"/>
      <c r="C30" s="29"/>
      <c r="D30" s="29"/>
      <c r="E30" s="29"/>
      <c r="F30" s="29"/>
    </row>
    <row r="31" spans="1:7" x14ac:dyDescent="0.2">
      <c r="A31" s="29"/>
      <c r="C31" s="29"/>
      <c r="D31" s="29"/>
      <c r="E31" s="29"/>
      <c r="F31" s="29"/>
    </row>
    <row r="32" spans="1:7" x14ac:dyDescent="0.2">
      <c r="A32" s="25" t="s">
        <v>14</v>
      </c>
      <c r="B32" s="25"/>
      <c r="C32" s="25"/>
      <c r="D32" s="25"/>
      <c r="E32" s="25"/>
      <c r="F32" s="25"/>
      <c r="G32" s="25"/>
    </row>
    <row r="34" spans="1:7" s="29" customFormat="1" x14ac:dyDescent="0.2">
      <c r="A34" s="29" t="s">
        <v>25</v>
      </c>
      <c r="B34" s="29" t="s">
        <v>38</v>
      </c>
      <c r="C34" s="29" t="s">
        <v>2</v>
      </c>
      <c r="D34" s="30" t="s">
        <v>9</v>
      </c>
      <c r="E34" s="30" t="s">
        <v>3</v>
      </c>
      <c r="F34" s="30" t="s">
        <v>4</v>
      </c>
      <c r="G34" s="30" t="s">
        <v>16</v>
      </c>
    </row>
    <row r="35" spans="1:7" x14ac:dyDescent="0.2">
      <c r="A35" s="24" t="str">
        <f>MatP8815C0Colour</f>
        <v>Not Specified</v>
      </c>
      <c r="B35" s="24" t="str">
        <f>IF(MatP8815C0Code=0,"",MatP8815C0Code)</f>
        <v/>
      </c>
      <c r="C35" s="24" t="str">
        <f>MatP8815C0Desc</f>
        <v>TLE Tile</v>
      </c>
      <c r="D35" s="31">
        <v>16</v>
      </c>
      <c r="E35" s="32">
        <f>MatP8815C0Price</f>
        <v>1.2</v>
      </c>
      <c r="F35" s="33" t="str">
        <f>MatP8815C0PerText</f>
        <v>Each</v>
      </c>
      <c r="G35" s="32">
        <f t="shared" ref="G35:G45" si="0">D35 * E35</f>
        <v>19.2</v>
      </c>
    </row>
    <row r="36" spans="1:7" x14ac:dyDescent="0.2">
      <c r="A36" s="24" t="str">
        <f>MatP9008C0Colour</f>
        <v>Not Specified</v>
      </c>
      <c r="B36" s="24" t="str">
        <f>IF(MatP9008C0Code=0,"",MatP9008C0Code)</f>
        <v/>
      </c>
      <c r="C36" s="24" t="str">
        <f>MatP9008C0Desc</f>
        <v>Battens (50mm x 25mm)</v>
      </c>
      <c r="D36" s="31">
        <v>4</v>
      </c>
      <c r="E36" s="32">
        <f>MatP9008C0Price</f>
        <v>0.9</v>
      </c>
      <c r="F36" s="33" t="str">
        <f>MatP9008C0PerText</f>
        <v>Metre</v>
      </c>
      <c r="G36" s="32">
        <f t="shared" si="0"/>
        <v>3.6</v>
      </c>
    </row>
    <row r="37" spans="1:7" x14ac:dyDescent="0.2">
      <c r="A37" s="24" t="str">
        <f>MatP8857C0Colour</f>
        <v>Not Specified</v>
      </c>
      <c r="B37" s="24" t="str">
        <f>IF(MatP8857C0Code=0,"",MatP8857C0Code)</f>
        <v/>
      </c>
      <c r="C37" s="24" t="str">
        <f>MatP8857C0Desc</f>
        <v>LH Uni-Fix Dry Verge Unit</v>
      </c>
      <c r="D37" s="31">
        <v>8</v>
      </c>
      <c r="E37" s="32">
        <f>MatP8857C0Price</f>
        <v>1.1000000000000001</v>
      </c>
      <c r="F37" s="33" t="str">
        <f>MatP8857C0PerText</f>
        <v>Each</v>
      </c>
      <c r="G37" s="32">
        <f t="shared" si="0"/>
        <v>8.8000000000000007</v>
      </c>
    </row>
    <row r="38" spans="1:7" x14ac:dyDescent="0.2">
      <c r="A38" s="24" t="str">
        <f>MatP8830C20Colour</f>
        <v>Not Specified</v>
      </c>
      <c r="B38" s="24" t="str">
        <f>IF(MatP8830C20Code=0,"",MatP8830C20Code)</f>
        <v/>
      </c>
      <c r="C38" s="24" t="str">
        <f>MatP8830C20Desc</f>
        <v>Dry Verge Starter Unit</v>
      </c>
      <c r="D38" s="31">
        <v>1</v>
      </c>
      <c r="E38" s="32">
        <f>MatP8830C20Price</f>
        <v>1.51</v>
      </c>
      <c r="F38" s="33" t="str">
        <f>MatP8830C20PerText</f>
        <v>Each</v>
      </c>
      <c r="G38" s="32">
        <f t="shared" si="0"/>
        <v>1.51</v>
      </c>
    </row>
    <row r="39" spans="1:7" x14ac:dyDescent="0.2">
      <c r="A39" s="24" t="str">
        <f>MatP8281C0Colour</f>
        <v>Not Specified</v>
      </c>
      <c r="B39" s="24" t="str">
        <f>IF(MatP8281C0Code=0,"",MatP8281C0Code)</f>
        <v/>
      </c>
      <c r="C39" s="24" t="str">
        <f>MatP8281C0Desc</f>
        <v>Generic Eave Insulation (1m)</v>
      </c>
      <c r="D39" s="31">
        <v>2</v>
      </c>
      <c r="E39" s="32">
        <f>MatP8281C0Price</f>
        <v>5</v>
      </c>
      <c r="F39" s="33" t="str">
        <f>MatP8281C0PerText</f>
        <v>Each</v>
      </c>
      <c r="G39" s="32">
        <f t="shared" si="0"/>
        <v>10</v>
      </c>
    </row>
    <row r="40" spans="1:7" x14ac:dyDescent="0.2">
      <c r="A40" s="24" t="str">
        <f>MatP8874C20Colour</f>
        <v>Not Specified</v>
      </c>
      <c r="B40" s="24" t="str">
        <f>IF(MatP8874C20Code=0,"",MatP8874C20Code)</f>
        <v/>
      </c>
      <c r="C40" s="24" t="str">
        <f>MatP8874C20Desc</f>
        <v>Underlay Support Tray (1.5m)</v>
      </c>
      <c r="D40" s="31">
        <v>1</v>
      </c>
      <c r="E40" s="32">
        <f>MatP8874C20Price</f>
        <v>1.5</v>
      </c>
      <c r="F40" s="33" t="str">
        <f>MatP8874C20PerText</f>
        <v>Each</v>
      </c>
      <c r="G40" s="32">
        <f t="shared" si="0"/>
        <v>1.5</v>
      </c>
    </row>
    <row r="41" spans="1:7" x14ac:dyDescent="0.2">
      <c r="A41" s="24" t="str">
        <f>MatP8826C539Colour</f>
        <v>Not Specified</v>
      </c>
      <c r="B41" s="24" t="str">
        <f>IF(MatP8826C539Code=0,"",MatP8826C539Code)</f>
        <v/>
      </c>
      <c r="C41" s="24" t="str">
        <f>MatP8826C539Desc</f>
        <v>Metal Batten End Clips</v>
      </c>
      <c r="D41" s="31">
        <v>4</v>
      </c>
      <c r="E41" s="32">
        <f>MatP8826C539Price</f>
        <v>0.28000000000000003</v>
      </c>
      <c r="F41" s="33" t="str">
        <f>MatP8826C539PerText</f>
        <v>Each</v>
      </c>
      <c r="G41" s="32">
        <f t="shared" si="0"/>
        <v>1.1200000000000001</v>
      </c>
    </row>
    <row r="42" spans="1:7" x14ac:dyDescent="0.2">
      <c r="A42" s="24" t="str">
        <f>MatP8831C539Colour</f>
        <v>Not Specified</v>
      </c>
      <c r="B42" s="24" t="str">
        <f>IF(MatP8831C539Code=0,"",MatP8831C539Code)</f>
        <v/>
      </c>
      <c r="C42" s="24" t="str">
        <f>MatP8831C539Desc</f>
        <v>Eave Clip</v>
      </c>
      <c r="D42" s="31">
        <v>5</v>
      </c>
      <c r="E42" s="32">
        <f>MatP8831C539Price</f>
        <v>0.1</v>
      </c>
      <c r="F42" s="33" t="str">
        <f>MatP8831C539PerText</f>
        <v>Each</v>
      </c>
      <c r="G42" s="32">
        <f t="shared" si="0"/>
        <v>0.5</v>
      </c>
    </row>
    <row r="43" spans="1:7" x14ac:dyDescent="0.2">
      <c r="A43" s="24" t="str">
        <f>MatP9318C0Colour</f>
        <v>Not Specified</v>
      </c>
      <c r="B43" s="24" t="str">
        <f>IF(MatP9318C0Code=0,"",MatP9318C0Code)</f>
        <v/>
      </c>
      <c r="C43" s="24" t="str">
        <f>MatP9318C0Desc</f>
        <v>45mm x 3.35mm Aluminium Nails</v>
      </c>
      <c r="D43" s="31">
        <v>0.99999997764825821</v>
      </c>
      <c r="E43" s="32">
        <f>MatP9318C0Price</f>
        <v>7.28</v>
      </c>
      <c r="F43" s="33" t="str">
        <f>MatP9318C0PerText</f>
        <v>Kg</v>
      </c>
      <c r="G43" s="32">
        <f t="shared" si="0"/>
        <v>7.2799998372793198</v>
      </c>
    </row>
    <row r="44" spans="1:7" x14ac:dyDescent="0.2">
      <c r="A44" s="24" t="str">
        <f>MatP9100C0Colour</f>
        <v>Not Specified</v>
      </c>
      <c r="B44" s="24" t="str">
        <f>IF(MatP9100C0Code=0,"",MatP9100C0Code)</f>
        <v/>
      </c>
      <c r="C44" s="24" t="str">
        <f>MatP9100C0Desc</f>
        <v>Batten Nails - 65mm x 3.35mm Galvanised</v>
      </c>
      <c r="D44" s="31">
        <v>1</v>
      </c>
      <c r="E44" s="32">
        <f>MatP9100C0Price</f>
        <v>4.5</v>
      </c>
      <c r="F44" s="33" t="str">
        <f>MatP9100C0PerText</f>
        <v>Kg</v>
      </c>
      <c r="G44" s="32">
        <f t="shared" si="0"/>
        <v>4.5</v>
      </c>
    </row>
    <row r="45" spans="1:7" x14ac:dyDescent="0.2">
      <c r="A45" s="24" t="str">
        <f>MatP9066C92Colour</f>
        <v>Not Specified</v>
      </c>
      <c r="B45" s="24" t="str">
        <f>IF(MatP9066C92Code=0,"",MatP9066C92Code)</f>
        <v/>
      </c>
      <c r="C45" s="24" t="str">
        <f>MatP9066C92Desc</f>
        <v>Lead Code 4 - 300mm (6m)</v>
      </c>
      <c r="D45" s="31">
        <v>3</v>
      </c>
      <c r="E45" s="32">
        <f>MatP9066C92Price</f>
        <v>15.21</v>
      </c>
      <c r="F45" s="33" t="str">
        <f>MatP9066C92PerText</f>
        <v>Metre</v>
      </c>
      <c r="G45" s="32">
        <f t="shared" si="0"/>
        <v>45.63</v>
      </c>
    </row>
    <row r="46" spans="1:7" x14ac:dyDescent="0.2">
      <c r="D46" s="31"/>
      <c r="E46" s="32"/>
      <c r="F46" s="33"/>
      <c r="G46" s="32"/>
    </row>
    <row r="47" spans="1:7" x14ac:dyDescent="0.2">
      <c r="F47" s="34" t="s">
        <v>5</v>
      </c>
      <c r="G47" s="35">
        <f>SUM(G35:G46)</f>
        <v>103.63999983727932</v>
      </c>
    </row>
    <row r="48" spans="1:7" x14ac:dyDescent="0.2">
      <c r="G48" s="34"/>
    </row>
    <row r="49" spans="1:7" x14ac:dyDescent="0.2">
      <c r="A49" s="25" t="s">
        <v>15</v>
      </c>
      <c r="B49" s="25"/>
      <c r="D49" s="25"/>
      <c r="E49" s="25"/>
      <c r="F49" s="25"/>
      <c r="G49" s="25"/>
    </row>
    <row r="51" spans="1:7" x14ac:dyDescent="0.2">
      <c r="A51" s="102" t="s">
        <v>6</v>
      </c>
      <c r="B51" s="102"/>
      <c r="C51" s="102"/>
      <c r="D51" s="34" t="s">
        <v>7</v>
      </c>
      <c r="E51" s="34" t="s">
        <v>9</v>
      </c>
      <c r="F51" s="34" t="s">
        <v>8</v>
      </c>
      <c r="G51" s="34" t="s">
        <v>16</v>
      </c>
    </row>
    <row r="52" spans="1:7" x14ac:dyDescent="0.2">
      <c r="A52" s="103" t="str">
        <f>LabP8815R6L1G1Desc</f>
        <v>Main Area</v>
      </c>
      <c r="B52" s="103"/>
      <c r="C52" s="103"/>
      <c r="D52" s="36">
        <f>LabP8815R6L1G1Rate</f>
        <v>9</v>
      </c>
      <c r="E52" s="37">
        <f>'KND-Porch (Lean to)'!Area</f>
        <v>1.32</v>
      </c>
      <c r="F52" s="27" t="str">
        <f xml:space="preserve"> "" &amp; LabP8815R6L1G1Per</f>
        <v>m²</v>
      </c>
      <c r="G52" s="36">
        <f t="shared" ref="G52:G58" si="1">D52 * E52</f>
        <v>11.88</v>
      </c>
    </row>
    <row r="53" spans="1:7" x14ac:dyDescent="0.2">
      <c r="A53" s="24" t="str">
        <f>LabP8815R0L1G2Desc</f>
        <v>Eave</v>
      </c>
      <c r="D53" s="36">
        <f>LabP8815R0L1G2Rate</f>
        <v>2.5</v>
      </c>
      <c r="E53" s="37">
        <f>'KND-Porch (Lean to)'!Eave</f>
        <v>1.2</v>
      </c>
      <c r="F53" s="27" t="str">
        <f xml:space="preserve"> "" &amp; LabP8815R0L1G2Per</f>
        <v>m</v>
      </c>
      <c r="G53" s="36">
        <f t="shared" si="1"/>
        <v>3</v>
      </c>
    </row>
    <row r="54" spans="1:7" x14ac:dyDescent="0.2">
      <c r="A54" s="24" t="str">
        <f>LabP8815R0L1G3Desc</f>
        <v>Verge</v>
      </c>
      <c r="D54" s="36">
        <f>LabP8815R0L1G3Rate</f>
        <v>2.5</v>
      </c>
      <c r="E54" s="37">
        <f>LeftVerge+RightVerge</f>
        <v>1.1000000000000001</v>
      </c>
      <c r="F54" s="27" t="str">
        <f xml:space="preserve"> "" &amp; LabP8815R0L1G3Per</f>
        <v>m</v>
      </c>
      <c r="G54" s="36">
        <f t="shared" si="1"/>
        <v>2.75</v>
      </c>
    </row>
    <row r="55" spans="1:7" x14ac:dyDescent="0.2">
      <c r="A55" s="24" t="str">
        <f>LabP8815R0L1G10Desc</f>
        <v>Abut Courses</v>
      </c>
      <c r="D55" s="36">
        <f>LabP8815R0L1G10Rate</f>
        <v>5</v>
      </c>
      <c r="E55" s="37">
        <f>'KND-Porch (Lean to)'!AbutCourses</f>
        <v>1.1000000000000001</v>
      </c>
      <c r="F55" s="27" t="str">
        <f xml:space="preserve"> "" &amp; LabP8815R0L1G10Per</f>
        <v>m</v>
      </c>
      <c r="G55" s="36">
        <f t="shared" si="1"/>
        <v>5.5</v>
      </c>
    </row>
    <row r="56" spans="1:7" x14ac:dyDescent="0.2">
      <c r="A56" s="24" t="str">
        <f>LabP8815R15L1G243Desc</f>
        <v>Apron Flashing (Code 4)</v>
      </c>
      <c r="D56" s="36">
        <f>LabP8815R15L1G243Rate</f>
        <v>15</v>
      </c>
      <c r="E56" s="37">
        <v>1.2</v>
      </c>
      <c r="F56" s="27" t="str">
        <f xml:space="preserve"> "" &amp; LabP8815R15L1G243Per</f>
        <v>m</v>
      </c>
      <c r="G56" s="36">
        <f t="shared" si="1"/>
        <v>18</v>
      </c>
    </row>
    <row r="57" spans="1:7" x14ac:dyDescent="0.2">
      <c r="A57" s="24" t="str">
        <f>LabP8815R15L1G274Desc</f>
        <v>Step and Cover Flashing (Code 4)</v>
      </c>
      <c r="D57" s="36">
        <f>LabP8815R15L1G274Rate</f>
        <v>15</v>
      </c>
      <c r="E57" s="37">
        <v>1.1000000000000001</v>
      </c>
      <c r="F57" s="27" t="str">
        <f xml:space="preserve"> "" &amp; LabP8815R15L1G274Per</f>
        <v>m</v>
      </c>
      <c r="G57" s="36">
        <f t="shared" si="1"/>
        <v>16.5</v>
      </c>
    </row>
    <row r="58" spans="1:7" x14ac:dyDescent="0.2">
      <c r="A58" s="24" t="str">
        <f>LabP8815R150LabLabourforPorchesDesc</f>
        <v>Labour for Porches</v>
      </c>
      <c r="D58" s="36">
        <f>LabP8815R150LabLabourforPorchesRate</f>
        <v>150</v>
      </c>
      <c r="E58" s="37">
        <v>1</v>
      </c>
      <c r="F58" s="27" t="str">
        <f xml:space="preserve"> "" &amp; LabP8815R150LabLabourforPorchesPer</f>
        <v/>
      </c>
      <c r="G58" s="36">
        <f t="shared" si="1"/>
        <v>150</v>
      </c>
    </row>
    <row r="59" spans="1:7" x14ac:dyDescent="0.2">
      <c r="D59" s="36"/>
      <c r="E59" s="37"/>
      <c r="F59" s="27"/>
      <c r="G59" s="36"/>
    </row>
    <row r="60" spans="1:7" x14ac:dyDescent="0.2">
      <c r="A60" s="103"/>
      <c r="B60" s="103"/>
      <c r="C60" s="103"/>
      <c r="D60" s="36"/>
      <c r="E60" s="37"/>
      <c r="G60" s="36"/>
    </row>
    <row r="61" spans="1:7" x14ac:dyDescent="0.2">
      <c r="F61" s="34" t="s">
        <v>5</v>
      </c>
      <c r="G61" s="35">
        <f>SUM(G52:G60)</f>
        <v>207.63</v>
      </c>
    </row>
    <row r="65" spans="1:3" x14ac:dyDescent="0.2">
      <c r="A65" s="34"/>
      <c r="B65" s="38"/>
    </row>
    <row r="67" spans="1:3" x14ac:dyDescent="0.2">
      <c r="A67" s="34"/>
      <c r="B67" s="38"/>
    </row>
    <row r="69" spans="1:3" x14ac:dyDescent="0.2">
      <c r="A69" s="34"/>
      <c r="B69" s="38"/>
    </row>
    <row r="71" spans="1:3" x14ac:dyDescent="0.2">
      <c r="A71" s="34"/>
      <c r="B71" s="38"/>
    </row>
    <row r="74" spans="1:3" x14ac:dyDescent="0.2">
      <c r="A74" s="34"/>
      <c r="B74" s="38"/>
      <c r="C74" s="39"/>
    </row>
    <row r="76" spans="1:3" x14ac:dyDescent="0.2">
      <c r="A76" s="34"/>
      <c r="B76" s="38"/>
    </row>
    <row r="78" spans="1:3" x14ac:dyDescent="0.2">
      <c r="A78" s="34"/>
      <c r="B78" s="38"/>
      <c r="C78" s="39"/>
    </row>
    <row r="80" spans="1:3" x14ac:dyDescent="0.2">
      <c r="A80" s="34"/>
      <c r="B80" s="38"/>
    </row>
    <row r="82" spans="1:3" x14ac:dyDescent="0.2">
      <c r="A82" s="34"/>
      <c r="B82" s="38"/>
    </row>
    <row r="85" spans="1:3" x14ac:dyDescent="0.2">
      <c r="A85" s="34"/>
      <c r="B85" s="38"/>
    </row>
    <row r="87" spans="1:3" x14ac:dyDescent="0.2">
      <c r="A87" s="34"/>
      <c r="B87" s="38"/>
    </row>
    <row r="89" spans="1:3" x14ac:dyDescent="0.2">
      <c r="A89" s="34"/>
      <c r="B89" s="38"/>
      <c r="C89" s="39"/>
    </row>
    <row r="92" spans="1:3" x14ac:dyDescent="0.2">
      <c r="A92" s="34"/>
      <c r="B92" s="40"/>
      <c r="C92" s="23"/>
    </row>
    <row r="95" spans="1:3" x14ac:dyDescent="0.2">
      <c r="A95" s="39"/>
      <c r="B95" s="41"/>
    </row>
  </sheetData>
  <mergeCells count="5">
    <mergeCell ref="B4:F4"/>
    <mergeCell ref="B5:F5"/>
    <mergeCell ref="A51:C51"/>
    <mergeCell ref="A52:C52"/>
    <mergeCell ref="A60:C60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8FF3E-829E-4EC3-A826-E2D15C4D2F3B}">
  <dimension ref="A1:G103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186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139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46.18</v>
      </c>
      <c r="C9" s="23"/>
      <c r="D9" s="26"/>
    </row>
    <row r="10" spans="1:7" x14ac:dyDescent="0.2">
      <c r="A10" s="23" t="s">
        <v>114</v>
      </c>
      <c r="B10" s="24">
        <v>8.6</v>
      </c>
      <c r="C10" s="23"/>
      <c r="D10" s="26"/>
    </row>
    <row r="11" spans="1:7" x14ac:dyDescent="0.2">
      <c r="A11" s="23" t="s">
        <v>115</v>
      </c>
      <c r="B11" s="24">
        <v>5.37</v>
      </c>
      <c r="C11" s="23"/>
      <c r="D11" s="26"/>
    </row>
    <row r="12" spans="1:7" x14ac:dyDescent="0.2">
      <c r="A12" s="23" t="s">
        <v>116</v>
      </c>
      <c r="B12" s="24">
        <v>5.37</v>
      </c>
      <c r="C12" s="23"/>
      <c r="D12" s="26"/>
    </row>
    <row r="13" spans="1:7" x14ac:dyDescent="0.2">
      <c r="A13" s="23" t="s">
        <v>117</v>
      </c>
      <c r="B13" s="24">
        <v>4.3</v>
      </c>
      <c r="C13" s="23"/>
      <c r="D13" s="26"/>
    </row>
    <row r="14" spans="1:7" x14ac:dyDescent="0.2">
      <c r="A14" s="23" t="s">
        <v>118</v>
      </c>
      <c r="B14" s="24">
        <v>5.37</v>
      </c>
      <c r="C14" s="23"/>
      <c r="D14" s="26"/>
    </row>
    <row r="15" spans="1:7" x14ac:dyDescent="0.2">
      <c r="A15" s="23" t="s">
        <v>119</v>
      </c>
      <c r="B15" s="24">
        <v>600</v>
      </c>
      <c r="C15" s="23"/>
      <c r="D15" s="26"/>
    </row>
    <row r="16" spans="1:7" x14ac:dyDescent="0.2">
      <c r="A16" s="23" t="s">
        <v>120</v>
      </c>
      <c r="B16" s="24">
        <v>45</v>
      </c>
      <c r="C16" s="23"/>
      <c r="D16" s="26"/>
    </row>
    <row r="17" spans="1:7" x14ac:dyDescent="0.2">
      <c r="A17" s="23"/>
      <c r="C17" s="23"/>
      <c r="D17" s="26"/>
    </row>
    <row r="18" spans="1:7" x14ac:dyDescent="0.2">
      <c r="A18" s="23"/>
      <c r="B18" s="27"/>
      <c r="C18" s="23"/>
      <c r="D18" s="26"/>
    </row>
    <row r="19" spans="1:7" x14ac:dyDescent="0.2">
      <c r="A19" s="28" t="s">
        <v>10</v>
      </c>
      <c r="B19" s="28"/>
      <c r="C19" s="28"/>
      <c r="D19" s="28"/>
      <c r="E19" s="28"/>
      <c r="F19" s="28"/>
      <c r="G19" s="28"/>
    </row>
    <row r="20" spans="1:7" x14ac:dyDescent="0.2">
      <c r="A20" s="28"/>
      <c r="B20" s="28"/>
      <c r="C20" s="28"/>
      <c r="D20" s="28"/>
      <c r="E20" s="28"/>
      <c r="F20" s="28"/>
      <c r="G20" s="28"/>
    </row>
    <row r="21" spans="1:7" x14ac:dyDescent="0.2">
      <c r="A21" s="29" t="s">
        <v>121</v>
      </c>
      <c r="B21" s="24" t="s">
        <v>122</v>
      </c>
      <c r="C21" s="29"/>
      <c r="D21" s="29"/>
      <c r="E21" s="29"/>
      <c r="F21" s="29"/>
    </row>
    <row r="22" spans="1:7" x14ac:dyDescent="0.2">
      <c r="A22" s="29" t="s">
        <v>123</v>
      </c>
      <c r="B22" s="24" t="s">
        <v>124</v>
      </c>
      <c r="C22" s="29"/>
      <c r="D22" s="29"/>
      <c r="E22" s="29"/>
      <c r="F22" s="29"/>
    </row>
    <row r="23" spans="1:7" x14ac:dyDescent="0.2">
      <c r="A23" s="29"/>
      <c r="B23" s="24" t="s">
        <v>125</v>
      </c>
      <c r="C23" s="29"/>
      <c r="D23" s="29"/>
      <c r="E23" s="29"/>
      <c r="F23" s="29"/>
    </row>
    <row r="24" spans="1:7" x14ac:dyDescent="0.2">
      <c r="A24" s="29" t="s">
        <v>126</v>
      </c>
      <c r="B24" s="24" t="s">
        <v>127</v>
      </c>
      <c r="C24" s="29"/>
      <c r="D24" s="29"/>
      <c r="E24" s="29"/>
      <c r="F24" s="29"/>
    </row>
    <row r="25" spans="1:7" x14ac:dyDescent="0.2">
      <c r="A25" s="29"/>
      <c r="B25" s="24" t="s">
        <v>142</v>
      </c>
      <c r="C25" s="29"/>
      <c r="D25" s="29"/>
      <c r="E25" s="29"/>
      <c r="F25" s="29"/>
    </row>
    <row r="26" spans="1:7" x14ac:dyDescent="0.2">
      <c r="A26" s="29" t="s">
        <v>129</v>
      </c>
      <c r="B26" s="24" t="s">
        <v>130</v>
      </c>
      <c r="C26" s="29"/>
      <c r="D26" s="29"/>
      <c r="E26" s="29"/>
      <c r="F26" s="29"/>
    </row>
    <row r="27" spans="1:7" x14ac:dyDescent="0.2">
      <c r="A27" s="29"/>
      <c r="B27" s="24" t="s">
        <v>131</v>
      </c>
      <c r="C27" s="29"/>
      <c r="D27" s="29"/>
      <c r="E27" s="29"/>
      <c r="F27" s="29"/>
    </row>
    <row r="28" spans="1:7" x14ac:dyDescent="0.2">
      <c r="A28" s="29" t="s">
        <v>132</v>
      </c>
      <c r="B28" s="24" t="s">
        <v>133</v>
      </c>
      <c r="C28" s="29"/>
      <c r="D28" s="29"/>
      <c r="E28" s="29"/>
      <c r="F28" s="29"/>
    </row>
    <row r="29" spans="1:7" x14ac:dyDescent="0.2">
      <c r="A29" s="29" t="s">
        <v>134</v>
      </c>
      <c r="B29" s="24" t="s">
        <v>135</v>
      </c>
      <c r="C29" s="29"/>
      <c r="D29" s="29"/>
      <c r="E29" s="29"/>
      <c r="F29" s="29"/>
    </row>
    <row r="30" spans="1:7" x14ac:dyDescent="0.2">
      <c r="A30" s="29" t="s">
        <v>136</v>
      </c>
      <c r="B30" s="24" t="s">
        <v>137</v>
      </c>
      <c r="C30" s="29"/>
      <c r="D30" s="29"/>
      <c r="E30" s="29"/>
      <c r="F30" s="29"/>
    </row>
    <row r="31" spans="1:7" x14ac:dyDescent="0.2">
      <c r="A31" s="29"/>
      <c r="C31" s="29"/>
      <c r="D31" s="29"/>
      <c r="E31" s="29"/>
      <c r="F31" s="29"/>
    </row>
    <row r="32" spans="1:7" x14ac:dyDescent="0.2">
      <c r="A32" s="29"/>
      <c r="C32" s="29"/>
      <c r="D32" s="29"/>
      <c r="E32" s="29"/>
      <c r="F32" s="29"/>
    </row>
    <row r="33" spans="1:7" x14ac:dyDescent="0.2">
      <c r="A33" s="25" t="s">
        <v>14</v>
      </c>
      <c r="B33" s="25"/>
      <c r="C33" s="25"/>
      <c r="D33" s="25"/>
      <c r="E33" s="25"/>
      <c r="F33" s="25"/>
      <c r="G33" s="25"/>
    </row>
    <row r="35" spans="1:7" s="29" customFormat="1" x14ac:dyDescent="0.2">
      <c r="A35" s="29" t="s">
        <v>25</v>
      </c>
      <c r="B35" s="29" t="s">
        <v>38</v>
      </c>
      <c r="C35" s="29" t="s">
        <v>2</v>
      </c>
      <c r="D35" s="30" t="s">
        <v>9</v>
      </c>
      <c r="E35" s="30" t="s">
        <v>3</v>
      </c>
      <c r="F35" s="30" t="s">
        <v>4</v>
      </c>
      <c r="G35" s="30" t="s">
        <v>16</v>
      </c>
    </row>
    <row r="36" spans="1:7" x14ac:dyDescent="0.2">
      <c r="A36" s="24" t="str">
        <f>MatP8815C0Colour</f>
        <v>Not Specified</v>
      </c>
      <c r="B36" s="24" t="str">
        <f>IF(MatP8815C0Code=0,"",MatP8815C0Code)</f>
        <v/>
      </c>
      <c r="C36" s="24" t="str">
        <f>MatP8815C0Desc</f>
        <v>TLE Tile</v>
      </c>
      <c r="D36" s="31">
        <v>494</v>
      </c>
      <c r="E36" s="32">
        <f>MatP8815C0Price</f>
        <v>1.2</v>
      </c>
      <c r="F36" s="33" t="str">
        <f>MatP8815C0PerText</f>
        <v>Each</v>
      </c>
      <c r="G36" s="32">
        <f t="shared" ref="G36:G54" si="0">D36 * E36</f>
        <v>592.79999999999995</v>
      </c>
    </row>
    <row r="37" spans="1:7" x14ac:dyDescent="0.2">
      <c r="A37" s="24" t="str">
        <f>MatP8870C0Colour</f>
        <v>Not Specified</v>
      </c>
      <c r="B37" s="24" t="str">
        <f>IF(MatP8870C0Code=0,"",MatP8870C0Code)</f>
        <v/>
      </c>
      <c r="C37" s="24" t="str">
        <f>MatP8870C0Desc</f>
        <v>Ridge Tile (450mm)</v>
      </c>
      <c r="D37" s="31">
        <v>10</v>
      </c>
      <c r="E37" s="32">
        <f>MatP8870C0Price</f>
        <v>3.64</v>
      </c>
      <c r="F37" s="33" t="str">
        <f>MatP8870C0PerText</f>
        <v>Each</v>
      </c>
      <c r="G37" s="32">
        <f t="shared" si="0"/>
        <v>36.4</v>
      </c>
    </row>
    <row r="38" spans="1:7" x14ac:dyDescent="0.2">
      <c r="A38" s="24" t="str">
        <f>MatP10135C0Colour</f>
        <v>Not Specified</v>
      </c>
      <c r="B38" s="24" t="str">
        <f>IF(MatP10135C0Code=0,"",MatP10135C0Code)</f>
        <v/>
      </c>
      <c r="C38" s="24" t="str">
        <f>MatP10135C0Desc</f>
        <v>VP300 Vapour Permeable Underlay (50m x 1m)</v>
      </c>
      <c r="D38" s="31">
        <v>2</v>
      </c>
      <c r="E38" s="32">
        <f>MatP10135C0Price</f>
        <v>35</v>
      </c>
      <c r="F38" s="33" t="str">
        <f>MatP10135C0PerText</f>
        <v>Roll</v>
      </c>
      <c r="G38" s="32">
        <f t="shared" si="0"/>
        <v>70</v>
      </c>
    </row>
    <row r="39" spans="1:7" x14ac:dyDescent="0.2">
      <c r="A39" s="24" t="str">
        <f>MatP9008C0Colour</f>
        <v>Not Specified</v>
      </c>
      <c r="B39" s="24" t="str">
        <f>IF(MatP9008C0Code=0,"",MatP9008C0Code)</f>
        <v/>
      </c>
      <c r="C39" s="24" t="str">
        <f>MatP9008C0Desc</f>
        <v>Battens (50mm x 25mm)</v>
      </c>
      <c r="D39" s="31">
        <v>157</v>
      </c>
      <c r="E39" s="32">
        <f>MatP9008C0Price</f>
        <v>0.9</v>
      </c>
      <c r="F39" s="33" t="str">
        <f>MatP9008C0PerText</f>
        <v>Metre</v>
      </c>
      <c r="G39" s="32">
        <f t="shared" si="0"/>
        <v>141.30000000000001</v>
      </c>
    </row>
    <row r="40" spans="1:7" x14ac:dyDescent="0.2">
      <c r="A40" s="24" t="str">
        <f>MatP8879C15Colour</f>
        <v>Not Specified</v>
      </c>
      <c r="B40" s="24" t="str">
        <f>IF(MatP8879C15Code=0,"",MatP8879C15Code)</f>
        <v/>
      </c>
      <c r="C40" s="24" t="str">
        <f>MatP8879C15Desc</f>
        <v>Universal Dry Ridge/Hip System (6m)</v>
      </c>
      <c r="D40" s="31">
        <v>1</v>
      </c>
      <c r="E40" s="32">
        <f>MatP8879C15Price</f>
        <v>28.09</v>
      </c>
      <c r="F40" s="33" t="str">
        <f>MatP8879C15PerText</f>
        <v>Pack</v>
      </c>
      <c r="G40" s="32">
        <f t="shared" si="0"/>
        <v>28.09</v>
      </c>
    </row>
    <row r="41" spans="1:7" x14ac:dyDescent="0.2">
      <c r="A41" s="24" t="str">
        <f>MatP8857C0Colour</f>
        <v>Not Specified</v>
      </c>
      <c r="B41" s="24" t="str">
        <f>IF(MatP8857C0Code=0,"",MatP8857C0Code)</f>
        <v/>
      </c>
      <c r="C41" s="24" t="str">
        <f>MatP8857C0Desc</f>
        <v>LH Uni-Fix Dry Verge Unit</v>
      </c>
      <c r="D41" s="31">
        <v>32</v>
      </c>
      <c r="E41" s="32">
        <f>MatP8857C0Price</f>
        <v>1.1000000000000001</v>
      </c>
      <c r="F41" s="33" t="str">
        <f>MatP8857C0PerText</f>
        <v>Each</v>
      </c>
      <c r="G41" s="32">
        <f t="shared" si="0"/>
        <v>35.200000000000003</v>
      </c>
    </row>
    <row r="42" spans="1:7" x14ac:dyDescent="0.2">
      <c r="A42" s="24" t="str">
        <f>MatP8869C0Colour</f>
        <v>Not Specified</v>
      </c>
      <c r="B42" s="24" t="str">
        <f>IF(MatP8869C0Code=0,"",MatP8869C0Code)</f>
        <v/>
      </c>
      <c r="C42" s="24" t="str">
        <f>MatP8869C0Desc</f>
        <v>RH Uni-Fix Dry Verge Unit</v>
      </c>
      <c r="D42" s="31">
        <v>32</v>
      </c>
      <c r="E42" s="32">
        <f>MatP8869C0Price</f>
        <v>1.1000000000000001</v>
      </c>
      <c r="F42" s="33" t="str">
        <f>MatP8869C0PerText</f>
        <v>Each</v>
      </c>
      <c r="G42" s="32">
        <f t="shared" si="0"/>
        <v>35.200000000000003</v>
      </c>
    </row>
    <row r="43" spans="1:7" x14ac:dyDescent="0.2">
      <c r="A43" s="24" t="str">
        <f>MatP8877C0Colour</f>
        <v>Not Specified</v>
      </c>
      <c r="B43" s="24" t="str">
        <f>IF(MatP8877C0Code=0,"",MatP8877C0Code)</f>
        <v/>
      </c>
      <c r="C43" s="24" t="str">
        <f>MatP8877C0Desc</f>
        <v>Uni-Fix Universal Ridge End Cap</v>
      </c>
      <c r="D43" s="31">
        <v>1</v>
      </c>
      <c r="E43" s="32">
        <f>MatP8877C0Price</f>
        <v>1.6</v>
      </c>
      <c r="F43" s="33" t="str">
        <f>MatP8877C0PerText</f>
        <v>Each</v>
      </c>
      <c r="G43" s="32">
        <f t="shared" si="0"/>
        <v>1.6</v>
      </c>
    </row>
    <row r="44" spans="1:7" x14ac:dyDescent="0.2">
      <c r="A44" s="24" t="str">
        <f>MatP8830C20Colour</f>
        <v>Not Specified</v>
      </c>
      <c r="B44" s="24" t="str">
        <f>IF(MatP8830C20Code=0,"",MatP8830C20Code)</f>
        <v/>
      </c>
      <c r="C44" s="24" t="str">
        <f>MatP8830C20Desc</f>
        <v>Dry Verge Starter Unit</v>
      </c>
      <c r="D44" s="31">
        <v>2</v>
      </c>
      <c r="E44" s="32">
        <f>MatP8830C20Price</f>
        <v>1.51</v>
      </c>
      <c r="F44" s="33" t="str">
        <f>MatP8830C20PerText</f>
        <v>Each</v>
      </c>
      <c r="G44" s="32">
        <f t="shared" si="0"/>
        <v>3.02</v>
      </c>
    </row>
    <row r="45" spans="1:7" x14ac:dyDescent="0.2">
      <c r="A45" s="24" t="str">
        <f>MatP8281C0Colour</f>
        <v>Not Specified</v>
      </c>
      <c r="B45" s="24" t="str">
        <f>IF(MatP8281C0Code=0,"",MatP8281C0Code)</f>
        <v/>
      </c>
      <c r="C45" s="24" t="str">
        <f>MatP8281C0Desc</f>
        <v>Generic Eave Insulation (1m)</v>
      </c>
      <c r="D45" s="31">
        <v>9</v>
      </c>
      <c r="E45" s="32">
        <f>MatP8281C0Price</f>
        <v>5</v>
      </c>
      <c r="F45" s="33" t="str">
        <f>MatP8281C0PerText</f>
        <v>Each</v>
      </c>
      <c r="G45" s="32">
        <f t="shared" si="0"/>
        <v>45</v>
      </c>
    </row>
    <row r="46" spans="1:7" x14ac:dyDescent="0.2">
      <c r="A46" s="24" t="str">
        <f>MatP8821C20Colour</f>
        <v>Not Specified</v>
      </c>
      <c r="B46" s="24" t="str">
        <f>IF(MatP8821C20Code=0,"",MatP8821C20Code)</f>
        <v/>
      </c>
      <c r="C46" s="24" t="str">
        <f>MatP8821C20Desc</f>
        <v>25mm Over Fascia Vent (1m)</v>
      </c>
      <c r="D46" s="31">
        <v>9</v>
      </c>
      <c r="E46" s="32">
        <f>MatP8821C20Price</f>
        <v>1.9</v>
      </c>
      <c r="F46" s="33" t="str">
        <f>MatP8821C20PerText</f>
        <v>Each</v>
      </c>
      <c r="G46" s="32">
        <f t="shared" si="0"/>
        <v>17.099999999999998</v>
      </c>
    </row>
    <row r="47" spans="1:7" x14ac:dyDescent="0.2">
      <c r="A47" s="24" t="str">
        <f>MatP8624C0Colour</f>
        <v>Not Specified</v>
      </c>
      <c r="B47" s="24" t="str">
        <f>IF(MatP8624C0Code=0,"",MatP8624C0Code)</f>
        <v/>
      </c>
      <c r="C47" s="24" t="str">
        <f>MatP8624C0Desc</f>
        <v>Generic Party Wall Insulation (1m)</v>
      </c>
      <c r="D47" s="31">
        <v>6</v>
      </c>
      <c r="E47" s="32">
        <f>MatP8624C0Price</f>
        <v>5</v>
      </c>
      <c r="F47" s="33" t="str">
        <f>MatP8624C0PerText</f>
        <v>Each</v>
      </c>
      <c r="G47" s="32">
        <f t="shared" si="0"/>
        <v>30</v>
      </c>
    </row>
    <row r="48" spans="1:7" x14ac:dyDescent="0.2">
      <c r="A48" s="24" t="str">
        <f>MatP8866C20Colour</f>
        <v>Not Specified</v>
      </c>
      <c r="B48" s="24" t="str">
        <f>IF(MatP8866C20Code=0,"",MatP8866C20Code)</f>
        <v/>
      </c>
      <c r="C48" s="24" t="str">
        <f>MatP8866C20Desc</f>
        <v>Rafter Roll (6m x 600mm)</v>
      </c>
      <c r="D48" s="31">
        <v>2</v>
      </c>
      <c r="E48" s="32">
        <f>MatP8866C20Price</f>
        <v>9.5</v>
      </c>
      <c r="F48" s="33" t="str">
        <f>MatP8866C20PerText</f>
        <v>Each</v>
      </c>
      <c r="G48" s="32">
        <f t="shared" si="0"/>
        <v>19</v>
      </c>
    </row>
    <row r="49" spans="1:7" x14ac:dyDescent="0.2">
      <c r="A49" s="24" t="str">
        <f>MatP8874C20Colour</f>
        <v>Not Specified</v>
      </c>
      <c r="B49" s="24" t="str">
        <f>IF(MatP8874C20Code=0,"",MatP8874C20Code)</f>
        <v/>
      </c>
      <c r="C49" s="24" t="str">
        <f>MatP8874C20Desc</f>
        <v>Underlay Support Tray (1.5m)</v>
      </c>
      <c r="D49" s="31">
        <v>6</v>
      </c>
      <c r="E49" s="32">
        <f>MatP8874C20Price</f>
        <v>1.5</v>
      </c>
      <c r="F49" s="33" t="str">
        <f>MatP8874C20PerText</f>
        <v>Each</v>
      </c>
      <c r="G49" s="32">
        <f t="shared" si="0"/>
        <v>9</v>
      </c>
    </row>
    <row r="50" spans="1:7" x14ac:dyDescent="0.2">
      <c r="A50" s="24" t="str">
        <f>MatP8872C539Colour</f>
        <v>Not Specified</v>
      </c>
      <c r="B50" s="24" t="str">
        <f>IF(MatP8872C539Code=0,"",MatP8872C539Code)</f>
        <v/>
      </c>
      <c r="C50" s="24" t="str">
        <f>MatP8872C539Desc</f>
        <v>Sidelock Tile Clips (TLE)</v>
      </c>
      <c r="D50" s="31">
        <v>194</v>
      </c>
      <c r="E50" s="32">
        <f>MatP8872C539Price</f>
        <v>7.0000000000000007E-2</v>
      </c>
      <c r="F50" s="33" t="str">
        <f>MatP8872C539PerText</f>
        <v>Each</v>
      </c>
      <c r="G50" s="32">
        <f t="shared" si="0"/>
        <v>13.580000000000002</v>
      </c>
    </row>
    <row r="51" spans="1:7" x14ac:dyDescent="0.2">
      <c r="A51" s="24" t="str">
        <f>MatP8826C539Colour</f>
        <v>Not Specified</v>
      </c>
      <c r="B51" s="24" t="str">
        <f>IF(MatP8826C539Code=0,"",MatP8826C539Code)</f>
        <v/>
      </c>
      <c r="C51" s="24" t="str">
        <f>MatP8826C539Desc</f>
        <v>Metal Batten End Clips</v>
      </c>
      <c r="D51" s="31">
        <v>32</v>
      </c>
      <c r="E51" s="32">
        <f>MatP8826C539Price</f>
        <v>0.28000000000000003</v>
      </c>
      <c r="F51" s="33" t="str">
        <f>MatP8826C539PerText</f>
        <v>Each</v>
      </c>
      <c r="G51" s="32">
        <f t="shared" si="0"/>
        <v>8.9600000000000009</v>
      </c>
    </row>
    <row r="52" spans="1:7" x14ac:dyDescent="0.2">
      <c r="A52" s="24" t="str">
        <f>MatP8831C539Colour</f>
        <v>Not Specified</v>
      </c>
      <c r="B52" s="24" t="str">
        <f>IF(MatP8831C539Code=0,"",MatP8831C539Code)</f>
        <v/>
      </c>
      <c r="C52" s="24" t="str">
        <f>MatP8831C539Desc</f>
        <v>Eave Clip</v>
      </c>
      <c r="D52" s="31">
        <v>30</v>
      </c>
      <c r="E52" s="32">
        <f>MatP8831C539Price</f>
        <v>0.1</v>
      </c>
      <c r="F52" s="33" t="str">
        <f>MatP8831C539PerText</f>
        <v>Each</v>
      </c>
      <c r="G52" s="32">
        <f t="shared" si="0"/>
        <v>3</v>
      </c>
    </row>
    <row r="53" spans="1:7" x14ac:dyDescent="0.2">
      <c r="A53" s="24" t="str">
        <f>MatP9318C0Colour</f>
        <v>Not Specified</v>
      </c>
      <c r="B53" s="24" t="str">
        <f>IF(MatP9318C0Code=0,"",MatP9318C0Code)</f>
        <v/>
      </c>
      <c r="C53" s="24" t="str">
        <f>MatP9318C0Desc</f>
        <v>45mm x 3.35mm Aluminium Nails</v>
      </c>
      <c r="D53" s="31">
        <v>2</v>
      </c>
      <c r="E53" s="32">
        <f>MatP9318C0Price</f>
        <v>7.28</v>
      </c>
      <c r="F53" s="33" t="str">
        <f>MatP9318C0PerText</f>
        <v>Kg</v>
      </c>
      <c r="G53" s="32">
        <f t="shared" si="0"/>
        <v>14.56</v>
      </c>
    </row>
    <row r="54" spans="1:7" x14ac:dyDescent="0.2">
      <c r="A54" s="24" t="str">
        <f>MatP9100C0Colour</f>
        <v>Not Specified</v>
      </c>
      <c r="B54" s="24" t="str">
        <f>IF(MatP9100C0Code=0,"",MatP9100C0Code)</f>
        <v/>
      </c>
      <c r="C54" s="24" t="str">
        <f>MatP9100C0Desc</f>
        <v>Batten Nails - 65mm x 3.35mm Galvanised</v>
      </c>
      <c r="D54" s="31">
        <v>2</v>
      </c>
      <c r="E54" s="32">
        <f>MatP9100C0Price</f>
        <v>4.5</v>
      </c>
      <c r="F54" s="33" t="str">
        <f>MatP9100C0PerText</f>
        <v>Kg</v>
      </c>
      <c r="G54" s="32">
        <f t="shared" si="0"/>
        <v>9</v>
      </c>
    </row>
    <row r="55" spans="1:7" x14ac:dyDescent="0.2">
      <c r="D55" s="31"/>
      <c r="E55" s="32"/>
      <c r="F55" s="33"/>
      <c r="G55" s="32"/>
    </row>
    <row r="56" spans="1:7" x14ac:dyDescent="0.2">
      <c r="F56" s="34" t="s">
        <v>5</v>
      </c>
      <c r="G56" s="35">
        <f>SUM(G36:G55)</f>
        <v>1112.81</v>
      </c>
    </row>
    <row r="57" spans="1:7" x14ac:dyDescent="0.2">
      <c r="G57" s="34"/>
    </row>
    <row r="58" spans="1:7" x14ac:dyDescent="0.2">
      <c r="A58" s="25" t="s">
        <v>15</v>
      </c>
      <c r="B58" s="25"/>
      <c r="D58" s="25"/>
      <c r="E58" s="25"/>
      <c r="F58" s="25"/>
      <c r="G58" s="25"/>
    </row>
    <row r="60" spans="1:7" x14ac:dyDescent="0.2">
      <c r="A60" s="102" t="s">
        <v>6</v>
      </c>
      <c r="B60" s="102"/>
      <c r="C60" s="102"/>
      <c r="D60" s="34" t="s">
        <v>7</v>
      </c>
      <c r="E60" s="34" t="s">
        <v>9</v>
      </c>
      <c r="F60" s="34" t="s">
        <v>8</v>
      </c>
      <c r="G60" s="34" t="s">
        <v>16</v>
      </c>
    </row>
    <row r="61" spans="1:7" x14ac:dyDescent="0.2">
      <c r="A61" s="103" t="str">
        <f>LabP8815R6L1G1Desc</f>
        <v>Main Area</v>
      </c>
      <c r="B61" s="103"/>
      <c r="C61" s="103"/>
      <c r="D61" s="36">
        <f>LabP8815R6L1G1Rate</f>
        <v>9</v>
      </c>
      <c r="E61" s="37">
        <f>'MSL-END-Main Roof'!Area</f>
        <v>46.18</v>
      </c>
      <c r="F61" s="27" t="str">
        <f xml:space="preserve"> "" &amp; LabP8815R6L1G1Per</f>
        <v>m²</v>
      </c>
      <c r="G61" s="36">
        <f t="shared" ref="G61:G66" si="1">D61 * E61</f>
        <v>415.62</v>
      </c>
    </row>
    <row r="62" spans="1:7" x14ac:dyDescent="0.2">
      <c r="A62" s="24" t="str">
        <f>LabP8815R0L1G2Desc</f>
        <v>Eave</v>
      </c>
      <c r="D62" s="36">
        <f>LabP8815R0L1G2Rate</f>
        <v>2.5</v>
      </c>
      <c r="E62" s="37">
        <f>'MSL-END-Main Roof'!Eave</f>
        <v>8.6</v>
      </c>
      <c r="F62" s="27" t="str">
        <f xml:space="preserve"> "" &amp; LabP8815R0L1G2Per</f>
        <v>m</v>
      </c>
      <c r="G62" s="36">
        <f t="shared" si="1"/>
        <v>21.5</v>
      </c>
    </row>
    <row r="63" spans="1:7" x14ac:dyDescent="0.2">
      <c r="A63" s="24" t="str">
        <f>LabP8815R0L1G3Desc</f>
        <v>Verge</v>
      </c>
      <c r="D63" s="36">
        <f>LabP8815R0L1G3Rate</f>
        <v>2.5</v>
      </c>
      <c r="E63" s="37">
        <f>LeftVerge+RightVerge</f>
        <v>10.74</v>
      </c>
      <c r="F63" s="27" t="str">
        <f xml:space="preserve"> "" &amp; LabP8815R0L1G3Per</f>
        <v>m</v>
      </c>
      <c r="G63" s="36">
        <f t="shared" si="1"/>
        <v>26.85</v>
      </c>
    </row>
    <row r="64" spans="1:7" x14ac:dyDescent="0.2">
      <c r="A64" s="24" t="str">
        <f>LabP8815R0L1G8Desc</f>
        <v>Duo Ridge</v>
      </c>
      <c r="D64" s="36">
        <f>LabP8815R0L1G8Rate</f>
        <v>2.5</v>
      </c>
      <c r="E64" s="37">
        <f>'MSL-END-Main Roof'!DuoRidge</f>
        <v>4.3</v>
      </c>
      <c r="F64" s="27" t="str">
        <f xml:space="preserve"> "" &amp; LabP8815R0L1G8Per</f>
        <v>m</v>
      </c>
      <c r="G64" s="36">
        <f t="shared" si="1"/>
        <v>10.75</v>
      </c>
    </row>
    <row r="65" spans="1:7" x14ac:dyDescent="0.2">
      <c r="A65" s="24" t="str">
        <f>LabP8815R0L1G241Desc</f>
        <v>Party Wall Insulation</v>
      </c>
      <c r="D65" s="36">
        <f>LabP8815R0L1G241Rate</f>
        <v>1.5</v>
      </c>
      <c r="E65" s="37">
        <v>5.37</v>
      </c>
      <c r="F65" s="27" t="str">
        <f xml:space="preserve"> "" &amp; LabP8815R0L1G241Per</f>
        <v>m</v>
      </c>
      <c r="G65" s="36">
        <f t="shared" si="1"/>
        <v>8.0549999999999997</v>
      </c>
    </row>
    <row r="66" spans="1:7" x14ac:dyDescent="0.2">
      <c r="A66" s="24" t="str">
        <f>LabP8815R30LabLabourforCuttingtoVeluxDesc</f>
        <v>Labour for Cutting to Velux</v>
      </c>
      <c r="D66" s="36">
        <f>LabP8815R30LabLabourforCuttingtoVeluxRate</f>
        <v>30</v>
      </c>
      <c r="E66" s="37">
        <v>1</v>
      </c>
      <c r="F66" s="27" t="str">
        <f xml:space="preserve"> "" &amp; LabP8815R30LabLabourforCuttingtoVeluxPer</f>
        <v/>
      </c>
      <c r="G66" s="36">
        <f t="shared" si="1"/>
        <v>30</v>
      </c>
    </row>
    <row r="67" spans="1:7" x14ac:dyDescent="0.2">
      <c r="D67" s="36"/>
      <c r="E67" s="37"/>
      <c r="F67" s="27"/>
      <c r="G67" s="36"/>
    </row>
    <row r="68" spans="1:7" x14ac:dyDescent="0.2">
      <c r="A68" s="103"/>
      <c r="B68" s="103"/>
      <c r="C68" s="103"/>
      <c r="D68" s="36"/>
      <c r="E68" s="37"/>
      <c r="G68" s="36"/>
    </row>
    <row r="69" spans="1:7" x14ac:dyDescent="0.2">
      <c r="F69" s="34" t="s">
        <v>5</v>
      </c>
      <c r="G69" s="35">
        <f>SUM(G61:G68)</f>
        <v>512.77500000000009</v>
      </c>
    </row>
    <row r="73" spans="1:7" x14ac:dyDescent="0.2">
      <c r="A73" s="34"/>
      <c r="B73" s="38"/>
    </row>
    <row r="75" spans="1:7" x14ac:dyDescent="0.2">
      <c r="A75" s="34"/>
      <c r="B75" s="38"/>
    </row>
    <row r="77" spans="1:7" x14ac:dyDescent="0.2">
      <c r="A77" s="34"/>
      <c r="B77" s="38"/>
    </row>
    <row r="79" spans="1:7" x14ac:dyDescent="0.2">
      <c r="A79" s="34"/>
      <c r="B79" s="38"/>
    </row>
    <row r="82" spans="1:3" x14ac:dyDescent="0.2">
      <c r="A82" s="34"/>
      <c r="B82" s="38"/>
      <c r="C82" s="39"/>
    </row>
    <row r="84" spans="1:3" x14ac:dyDescent="0.2">
      <c r="A84" s="34"/>
      <c r="B84" s="38"/>
    </row>
    <row r="86" spans="1:3" x14ac:dyDescent="0.2">
      <c r="A86" s="34"/>
      <c r="B86" s="38"/>
      <c r="C86" s="39"/>
    </row>
    <row r="88" spans="1:3" x14ac:dyDescent="0.2">
      <c r="A88" s="34"/>
      <c r="B88" s="38"/>
    </row>
    <row r="90" spans="1:3" x14ac:dyDescent="0.2">
      <c r="A90" s="34"/>
      <c r="B90" s="38"/>
    </row>
    <row r="93" spans="1:3" x14ac:dyDescent="0.2">
      <c r="A93" s="34"/>
      <c r="B93" s="38"/>
    </row>
    <row r="95" spans="1:3" x14ac:dyDescent="0.2">
      <c r="A95" s="34"/>
      <c r="B95" s="38"/>
    </row>
    <row r="97" spans="1:3" x14ac:dyDescent="0.2">
      <c r="A97" s="34"/>
      <c r="B97" s="38"/>
      <c r="C97" s="39"/>
    </row>
    <row r="100" spans="1:3" x14ac:dyDescent="0.2">
      <c r="A100" s="34"/>
      <c r="B100" s="40"/>
      <c r="C100" s="23"/>
    </row>
    <row r="103" spans="1:3" x14ac:dyDescent="0.2">
      <c r="A103" s="39"/>
      <c r="B103" s="41"/>
    </row>
  </sheetData>
  <mergeCells count="5">
    <mergeCell ref="B4:F4"/>
    <mergeCell ref="B5:F5"/>
    <mergeCell ref="A60:C60"/>
    <mergeCell ref="A61:C61"/>
    <mergeCell ref="A68:C68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4B236-DB2D-431C-92AD-A496EA059C14}">
  <dimension ref="A1:G92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186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145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1.65</v>
      </c>
      <c r="C9" s="23"/>
      <c r="D9" s="26"/>
    </row>
    <row r="10" spans="1:7" x14ac:dyDescent="0.2">
      <c r="A10" s="23" t="s">
        <v>114</v>
      </c>
      <c r="B10" s="24">
        <v>1.5</v>
      </c>
      <c r="C10" s="23"/>
      <c r="D10" s="26"/>
    </row>
    <row r="11" spans="1:7" x14ac:dyDescent="0.2">
      <c r="A11" s="23" t="s">
        <v>141</v>
      </c>
      <c r="B11" s="24">
        <v>1.5</v>
      </c>
      <c r="C11" s="23"/>
      <c r="D11" s="26"/>
    </row>
    <row r="12" spans="1:7" x14ac:dyDescent="0.2">
      <c r="A12" s="23" t="s">
        <v>115</v>
      </c>
      <c r="B12" s="24">
        <v>1.1000000000000001</v>
      </c>
      <c r="C12" s="23"/>
      <c r="D12" s="26"/>
    </row>
    <row r="13" spans="1:7" x14ac:dyDescent="0.2">
      <c r="A13" s="23" t="s">
        <v>116</v>
      </c>
      <c r="B13" s="24">
        <v>1.1000000000000001</v>
      </c>
      <c r="C13" s="23"/>
      <c r="D13" s="26"/>
    </row>
    <row r="14" spans="1:7" x14ac:dyDescent="0.2">
      <c r="A14" s="23" t="s">
        <v>119</v>
      </c>
      <c r="B14" s="24">
        <v>600</v>
      </c>
      <c r="C14" s="23"/>
      <c r="D14" s="26"/>
    </row>
    <row r="15" spans="1:7" x14ac:dyDescent="0.2">
      <c r="A15" s="23" t="s">
        <v>120</v>
      </c>
      <c r="B15" s="24">
        <v>35</v>
      </c>
      <c r="C15" s="23"/>
      <c r="D15" s="26"/>
    </row>
    <row r="16" spans="1:7" x14ac:dyDescent="0.2">
      <c r="A16" s="23"/>
      <c r="C16" s="23"/>
      <c r="D16" s="26"/>
    </row>
    <row r="17" spans="1:7" x14ac:dyDescent="0.2">
      <c r="A17" s="23"/>
      <c r="B17" s="27"/>
      <c r="C17" s="23"/>
      <c r="D17" s="26"/>
    </row>
    <row r="18" spans="1:7" x14ac:dyDescent="0.2">
      <c r="A18" s="28" t="s">
        <v>10</v>
      </c>
      <c r="B18" s="28"/>
      <c r="C18" s="28"/>
      <c r="D18" s="28"/>
      <c r="E18" s="28"/>
      <c r="F18" s="28"/>
      <c r="G18" s="28"/>
    </row>
    <row r="19" spans="1:7" x14ac:dyDescent="0.2">
      <c r="A19" s="28"/>
      <c r="B19" s="28"/>
      <c r="C19" s="28"/>
      <c r="D19" s="28"/>
      <c r="E19" s="28"/>
      <c r="F19" s="28"/>
      <c r="G19" s="28"/>
    </row>
    <row r="20" spans="1:7" x14ac:dyDescent="0.2">
      <c r="A20" s="29" t="s">
        <v>121</v>
      </c>
      <c r="B20" s="24" t="s">
        <v>122</v>
      </c>
      <c r="C20" s="29"/>
      <c r="D20" s="29"/>
      <c r="E20" s="29"/>
      <c r="F20" s="29"/>
    </row>
    <row r="21" spans="1:7" x14ac:dyDescent="0.2">
      <c r="A21" s="29" t="s">
        <v>123</v>
      </c>
      <c r="B21" s="24" t="s">
        <v>124</v>
      </c>
      <c r="C21" s="29"/>
      <c r="D21" s="29"/>
      <c r="E21" s="29"/>
      <c r="F21" s="29"/>
    </row>
    <row r="22" spans="1:7" x14ac:dyDescent="0.2">
      <c r="A22" s="29"/>
      <c r="B22" s="24" t="s">
        <v>154</v>
      </c>
      <c r="C22" s="29"/>
      <c r="D22" s="29"/>
      <c r="E22" s="29"/>
      <c r="F22" s="29"/>
    </row>
    <row r="23" spans="1:7" x14ac:dyDescent="0.2">
      <c r="A23" s="29" t="s">
        <v>126</v>
      </c>
      <c r="B23" s="24" t="s">
        <v>127</v>
      </c>
      <c r="C23" s="29"/>
      <c r="D23" s="29"/>
      <c r="E23" s="29"/>
      <c r="F23" s="29"/>
    </row>
    <row r="24" spans="1:7" x14ac:dyDescent="0.2">
      <c r="A24" s="29"/>
      <c r="B24" s="24" t="s">
        <v>67</v>
      </c>
      <c r="C24" s="29"/>
      <c r="D24" s="29"/>
      <c r="E24" s="29"/>
      <c r="F24" s="29"/>
    </row>
    <row r="25" spans="1:7" x14ac:dyDescent="0.2">
      <c r="A25" s="29" t="s">
        <v>129</v>
      </c>
      <c r="B25" s="24" t="s">
        <v>130</v>
      </c>
      <c r="C25" s="29"/>
      <c r="D25" s="29"/>
      <c r="E25" s="29"/>
      <c r="F25" s="29"/>
    </row>
    <row r="26" spans="1:7" x14ac:dyDescent="0.2">
      <c r="A26" s="29" t="s">
        <v>134</v>
      </c>
      <c r="B26" s="24" t="s">
        <v>135</v>
      </c>
      <c r="C26" s="29"/>
      <c r="D26" s="29"/>
      <c r="E26" s="29"/>
      <c r="F26" s="29"/>
    </row>
    <row r="27" spans="1:7" x14ac:dyDescent="0.2">
      <c r="A27" s="29" t="s">
        <v>143</v>
      </c>
      <c r="B27" s="24" t="s">
        <v>144</v>
      </c>
      <c r="C27" s="29"/>
      <c r="D27" s="29"/>
      <c r="E27" s="29"/>
      <c r="F27" s="29"/>
    </row>
    <row r="28" spans="1:7" x14ac:dyDescent="0.2">
      <c r="A28" s="29"/>
      <c r="C28" s="29"/>
      <c r="D28" s="29"/>
      <c r="E28" s="29"/>
      <c r="F28" s="29"/>
    </row>
    <row r="29" spans="1:7" x14ac:dyDescent="0.2">
      <c r="A29" s="29"/>
      <c r="C29" s="29"/>
      <c r="D29" s="29"/>
      <c r="E29" s="29"/>
      <c r="F29" s="29"/>
    </row>
    <row r="30" spans="1:7" x14ac:dyDescent="0.2">
      <c r="A30" s="25" t="s">
        <v>14</v>
      </c>
      <c r="B30" s="25"/>
      <c r="C30" s="25"/>
      <c r="D30" s="25"/>
      <c r="E30" s="25"/>
      <c r="F30" s="25"/>
      <c r="G30" s="25"/>
    </row>
    <row r="32" spans="1:7" s="29" customFormat="1" x14ac:dyDescent="0.2">
      <c r="A32" s="29" t="s">
        <v>25</v>
      </c>
      <c r="B32" s="29" t="s">
        <v>38</v>
      </c>
      <c r="C32" s="29" t="s">
        <v>2</v>
      </c>
      <c r="D32" s="30" t="s">
        <v>9</v>
      </c>
      <c r="E32" s="30" t="s">
        <v>3</v>
      </c>
      <c r="F32" s="30" t="s">
        <v>4</v>
      </c>
      <c r="G32" s="30" t="s">
        <v>16</v>
      </c>
    </row>
    <row r="33" spans="1:7" x14ac:dyDescent="0.2">
      <c r="A33" s="24" t="str">
        <f>MatP8815C0Colour</f>
        <v>Not Specified</v>
      </c>
      <c r="B33" s="24" t="str">
        <f>IF(MatP8815C0Code=0,"",MatP8815C0Code)</f>
        <v/>
      </c>
      <c r="C33" s="24" t="str">
        <f>MatP8815C0Desc</f>
        <v>TLE Tile</v>
      </c>
      <c r="D33" s="31">
        <v>21</v>
      </c>
      <c r="E33" s="32">
        <f>MatP8815C0Price</f>
        <v>1.2</v>
      </c>
      <c r="F33" s="33" t="str">
        <f>MatP8815C0PerText</f>
        <v>Each</v>
      </c>
      <c r="G33" s="32">
        <f t="shared" ref="G33:G44" si="0">D33 * E33</f>
        <v>25.2</v>
      </c>
    </row>
    <row r="34" spans="1:7" x14ac:dyDescent="0.2">
      <c r="A34" s="24" t="str">
        <f>MatP9008C0Colour</f>
        <v>Not Specified</v>
      </c>
      <c r="B34" s="24" t="str">
        <f>IF(MatP9008C0Code=0,"",MatP9008C0Code)</f>
        <v/>
      </c>
      <c r="C34" s="24" t="str">
        <f>MatP9008C0Desc</f>
        <v>Battens (50mm x 25mm)</v>
      </c>
      <c r="D34" s="31">
        <v>5</v>
      </c>
      <c r="E34" s="32">
        <f>MatP9008C0Price</f>
        <v>0.9</v>
      </c>
      <c r="F34" s="33" t="str">
        <f>MatP9008C0PerText</f>
        <v>Metre</v>
      </c>
      <c r="G34" s="32">
        <f t="shared" si="0"/>
        <v>4.5</v>
      </c>
    </row>
    <row r="35" spans="1:7" x14ac:dyDescent="0.2">
      <c r="A35" s="24" t="str">
        <f>MatP8869C0Colour</f>
        <v>Not Specified</v>
      </c>
      <c r="B35" s="24" t="str">
        <f>IF(MatP8869C0Code=0,"",MatP8869C0Code)</f>
        <v/>
      </c>
      <c r="C35" s="24" t="str">
        <f>MatP8869C0Desc</f>
        <v>RH Uni-Fix Dry Verge Unit</v>
      </c>
      <c r="D35" s="31">
        <v>8</v>
      </c>
      <c r="E35" s="32">
        <f>MatP8869C0Price</f>
        <v>1.1000000000000001</v>
      </c>
      <c r="F35" s="33" t="str">
        <f>MatP8869C0PerText</f>
        <v>Each</v>
      </c>
      <c r="G35" s="32">
        <f t="shared" si="0"/>
        <v>8.8000000000000007</v>
      </c>
    </row>
    <row r="36" spans="1:7" x14ac:dyDescent="0.2">
      <c r="A36" s="24" t="str">
        <f>MatP8857C0Colour</f>
        <v>Not Specified</v>
      </c>
      <c r="B36" s="24" t="str">
        <f>IF(MatP8857C0Code=0,"",MatP8857C0Code)</f>
        <v/>
      </c>
      <c r="C36" s="24" t="str">
        <f>MatP8857C0Desc</f>
        <v>LH Uni-Fix Dry Verge Unit</v>
      </c>
      <c r="D36" s="31">
        <v>8</v>
      </c>
      <c r="E36" s="32">
        <f>MatP8857C0Price</f>
        <v>1.1000000000000001</v>
      </c>
      <c r="F36" s="33" t="str">
        <f>MatP8857C0PerText</f>
        <v>Each</v>
      </c>
      <c r="G36" s="32">
        <f t="shared" si="0"/>
        <v>8.8000000000000007</v>
      </c>
    </row>
    <row r="37" spans="1:7" x14ac:dyDescent="0.2">
      <c r="A37" s="24" t="str">
        <f>MatP8830C20Colour</f>
        <v>Not Specified</v>
      </c>
      <c r="B37" s="24" t="str">
        <f>IF(MatP8830C20Code=0,"",MatP8830C20Code)</f>
        <v/>
      </c>
      <c r="C37" s="24" t="str">
        <f>MatP8830C20Desc</f>
        <v>Dry Verge Starter Unit</v>
      </c>
      <c r="D37" s="31">
        <v>2</v>
      </c>
      <c r="E37" s="32">
        <f>MatP8830C20Price</f>
        <v>1.51</v>
      </c>
      <c r="F37" s="33" t="str">
        <f>MatP8830C20PerText</f>
        <v>Each</v>
      </c>
      <c r="G37" s="32">
        <f t="shared" si="0"/>
        <v>3.02</v>
      </c>
    </row>
    <row r="38" spans="1:7" x14ac:dyDescent="0.2">
      <c r="A38" s="24" t="str">
        <f>MatP8281C0Colour</f>
        <v>Not Specified</v>
      </c>
      <c r="B38" s="24" t="str">
        <f>IF(MatP8281C0Code=0,"",MatP8281C0Code)</f>
        <v/>
      </c>
      <c r="C38" s="24" t="str">
        <f>MatP8281C0Desc</f>
        <v>Generic Eave Insulation (1m)</v>
      </c>
      <c r="D38" s="31">
        <v>2</v>
      </c>
      <c r="E38" s="32">
        <f>MatP8281C0Price</f>
        <v>5</v>
      </c>
      <c r="F38" s="33" t="str">
        <f>MatP8281C0PerText</f>
        <v>Each</v>
      </c>
      <c r="G38" s="32">
        <f t="shared" si="0"/>
        <v>10</v>
      </c>
    </row>
    <row r="39" spans="1:7" x14ac:dyDescent="0.2">
      <c r="A39" s="24" t="str">
        <f>MatP8874C20Colour</f>
        <v>Not Specified</v>
      </c>
      <c r="B39" s="24" t="str">
        <f>IF(MatP8874C20Code=0,"",MatP8874C20Code)</f>
        <v/>
      </c>
      <c r="C39" s="24" t="str">
        <f>MatP8874C20Desc</f>
        <v>Underlay Support Tray (1.5m)</v>
      </c>
      <c r="D39" s="31">
        <v>1</v>
      </c>
      <c r="E39" s="32">
        <f>MatP8874C20Price</f>
        <v>1.5</v>
      </c>
      <c r="F39" s="33" t="str">
        <f>MatP8874C20PerText</f>
        <v>Each</v>
      </c>
      <c r="G39" s="32">
        <f t="shared" si="0"/>
        <v>1.5</v>
      </c>
    </row>
    <row r="40" spans="1:7" x14ac:dyDescent="0.2">
      <c r="A40" s="24" t="str">
        <f>MatP8826C539Colour</f>
        <v>Not Specified</v>
      </c>
      <c r="B40" s="24" t="str">
        <f>IF(MatP8826C539Code=0,"",MatP8826C539Code)</f>
        <v/>
      </c>
      <c r="C40" s="24" t="str">
        <f>MatP8826C539Desc</f>
        <v>Metal Batten End Clips</v>
      </c>
      <c r="D40" s="31">
        <v>8</v>
      </c>
      <c r="E40" s="32">
        <f>MatP8826C539Price</f>
        <v>0.28000000000000003</v>
      </c>
      <c r="F40" s="33" t="str">
        <f>MatP8826C539PerText</f>
        <v>Each</v>
      </c>
      <c r="G40" s="32">
        <f t="shared" si="0"/>
        <v>2.2400000000000002</v>
      </c>
    </row>
    <row r="41" spans="1:7" x14ac:dyDescent="0.2">
      <c r="A41" s="24" t="str">
        <f>MatP8831C539Colour</f>
        <v>Not Specified</v>
      </c>
      <c r="B41" s="24" t="str">
        <f>IF(MatP8831C539Code=0,"",MatP8831C539Code)</f>
        <v/>
      </c>
      <c r="C41" s="24" t="str">
        <f>MatP8831C539Desc</f>
        <v>Eave Clip</v>
      </c>
      <c r="D41" s="31">
        <v>5</v>
      </c>
      <c r="E41" s="32">
        <f>MatP8831C539Price</f>
        <v>0.1</v>
      </c>
      <c r="F41" s="33" t="str">
        <f>MatP8831C539PerText</f>
        <v>Each</v>
      </c>
      <c r="G41" s="32">
        <f t="shared" si="0"/>
        <v>0.5</v>
      </c>
    </row>
    <row r="42" spans="1:7" x14ac:dyDescent="0.2">
      <c r="A42" s="24" t="str">
        <f>MatP9318C0Colour</f>
        <v>Not Specified</v>
      </c>
      <c r="B42" s="24" t="str">
        <f>IF(MatP9318C0Code=0,"",MatP9318C0Code)</f>
        <v/>
      </c>
      <c r="C42" s="24" t="str">
        <f>MatP9318C0Desc</f>
        <v>45mm x 3.35mm Aluminium Nails</v>
      </c>
      <c r="D42" s="31">
        <v>0.99999997764825821</v>
      </c>
      <c r="E42" s="32">
        <f>MatP9318C0Price</f>
        <v>7.28</v>
      </c>
      <c r="F42" s="33" t="str">
        <f>MatP9318C0PerText</f>
        <v>Kg</v>
      </c>
      <c r="G42" s="32">
        <f t="shared" si="0"/>
        <v>7.2799998372793198</v>
      </c>
    </row>
    <row r="43" spans="1:7" x14ac:dyDescent="0.2">
      <c r="A43" s="24" t="str">
        <f>MatP9100C0Colour</f>
        <v>Not Specified</v>
      </c>
      <c r="B43" s="24" t="str">
        <f>IF(MatP9100C0Code=0,"",MatP9100C0Code)</f>
        <v/>
      </c>
      <c r="C43" s="24" t="str">
        <f>MatP9100C0Desc</f>
        <v>Batten Nails - 65mm x 3.35mm Galvanised</v>
      </c>
      <c r="D43" s="31">
        <v>1</v>
      </c>
      <c r="E43" s="32">
        <f>MatP9100C0Price</f>
        <v>4.5</v>
      </c>
      <c r="F43" s="33" t="str">
        <f>MatP9100C0PerText</f>
        <v>Kg</v>
      </c>
      <c r="G43" s="32">
        <f t="shared" si="0"/>
        <v>4.5</v>
      </c>
    </row>
    <row r="44" spans="1:7" x14ac:dyDescent="0.2">
      <c r="A44" s="24" t="str">
        <f>MatP9066C92Colour</f>
        <v>Not Specified</v>
      </c>
      <c r="B44" s="24" t="str">
        <f>IF(MatP9066C92Code=0,"",MatP9066C92Code)</f>
        <v/>
      </c>
      <c r="C44" s="24" t="str">
        <f>MatP9066C92Desc</f>
        <v>Lead Code 4 - 300mm (6m)</v>
      </c>
      <c r="D44" s="31">
        <v>3</v>
      </c>
      <c r="E44" s="32">
        <f>MatP9066C92Price</f>
        <v>15.21</v>
      </c>
      <c r="F44" s="33" t="str">
        <f>MatP9066C92PerText</f>
        <v>Metre</v>
      </c>
      <c r="G44" s="32">
        <f t="shared" si="0"/>
        <v>45.63</v>
      </c>
    </row>
    <row r="45" spans="1:7" x14ac:dyDescent="0.2">
      <c r="D45" s="31"/>
      <c r="E45" s="32"/>
      <c r="F45" s="33"/>
      <c r="G45" s="32"/>
    </row>
    <row r="46" spans="1:7" x14ac:dyDescent="0.2">
      <c r="F46" s="34" t="s">
        <v>5</v>
      </c>
      <c r="G46" s="35">
        <f>SUM(G33:G45)</f>
        <v>121.96999983727932</v>
      </c>
    </row>
    <row r="47" spans="1:7" x14ac:dyDescent="0.2">
      <c r="G47" s="34"/>
    </row>
    <row r="48" spans="1:7" x14ac:dyDescent="0.2">
      <c r="A48" s="25" t="s">
        <v>15</v>
      </c>
      <c r="B48" s="25"/>
      <c r="D48" s="25"/>
      <c r="E48" s="25"/>
      <c r="F48" s="25"/>
      <c r="G48" s="25"/>
    </row>
    <row r="50" spans="1:7" x14ac:dyDescent="0.2">
      <c r="A50" s="102" t="s">
        <v>6</v>
      </c>
      <c r="B50" s="102"/>
      <c r="C50" s="102"/>
      <c r="D50" s="34" t="s">
        <v>7</v>
      </c>
      <c r="E50" s="34" t="s">
        <v>9</v>
      </c>
      <c r="F50" s="34" t="s">
        <v>8</v>
      </c>
      <c r="G50" s="34" t="s">
        <v>16</v>
      </c>
    </row>
    <row r="51" spans="1:7" x14ac:dyDescent="0.2">
      <c r="A51" s="103" t="str">
        <f>LabP8815R6L1G1Desc</f>
        <v>Main Area</v>
      </c>
      <c r="B51" s="103"/>
      <c r="C51" s="103"/>
      <c r="D51" s="36">
        <f>LabP8815R6L1G1Rate</f>
        <v>9</v>
      </c>
      <c r="E51" s="37">
        <f>'MSL-END-Porch (Lean to)'!Area</f>
        <v>1.65</v>
      </c>
      <c r="F51" s="27" t="str">
        <f xml:space="preserve"> "" &amp; LabP8815R6L1G1Per</f>
        <v>m²</v>
      </c>
      <c r="G51" s="36">
        <f>D51 * E51</f>
        <v>14.85</v>
      </c>
    </row>
    <row r="52" spans="1:7" x14ac:dyDescent="0.2">
      <c r="A52" s="24" t="str">
        <f>LabP8815R0L1G2Desc</f>
        <v>Eave</v>
      </c>
      <c r="D52" s="36">
        <f>LabP8815R0L1G2Rate</f>
        <v>2.5</v>
      </c>
      <c r="E52" s="37">
        <f>'MSL-END-Porch (Lean to)'!Eave</f>
        <v>1.5</v>
      </c>
      <c r="F52" s="27" t="str">
        <f xml:space="preserve"> "" &amp; LabP8815R0L1G2Per</f>
        <v>m</v>
      </c>
      <c r="G52" s="36">
        <f>D52 * E52</f>
        <v>3.75</v>
      </c>
    </row>
    <row r="53" spans="1:7" x14ac:dyDescent="0.2">
      <c r="A53" s="24" t="str">
        <f>LabP8815R0L1G3Desc</f>
        <v>Verge</v>
      </c>
      <c r="D53" s="36">
        <f>LabP8815R0L1G3Rate</f>
        <v>2.5</v>
      </c>
      <c r="E53" s="37">
        <f>LeftVerge+RightVerge</f>
        <v>2.2000000000000002</v>
      </c>
      <c r="F53" s="27" t="str">
        <f xml:space="preserve"> "" &amp; LabP8815R0L1G3Per</f>
        <v>m</v>
      </c>
      <c r="G53" s="36">
        <f>D53 * E53</f>
        <v>5.5</v>
      </c>
    </row>
    <row r="54" spans="1:7" x14ac:dyDescent="0.2">
      <c r="A54" s="24" t="str">
        <f>LabP8815R15L1G243Desc</f>
        <v>Apron Flashing (Code 4)</v>
      </c>
      <c r="D54" s="36">
        <f>LabP8815R15L1G243Rate</f>
        <v>15</v>
      </c>
      <c r="E54" s="37">
        <v>1.5</v>
      </c>
      <c r="F54" s="27" t="str">
        <f xml:space="preserve"> "" &amp; LabP8815R15L1G243Per</f>
        <v>m</v>
      </c>
      <c r="G54" s="36">
        <f>D54 * E54</f>
        <v>22.5</v>
      </c>
    </row>
    <row r="55" spans="1:7" x14ac:dyDescent="0.2">
      <c r="A55" s="24" t="str">
        <f>LabP8815R150LabLabourforPorchesDesc</f>
        <v>Labour for Porches</v>
      </c>
      <c r="D55" s="36">
        <f>LabP8815R150LabLabourforPorchesRate</f>
        <v>150</v>
      </c>
      <c r="E55" s="37">
        <v>1</v>
      </c>
      <c r="F55" s="27" t="str">
        <f xml:space="preserve"> "" &amp; LabP8815R150LabLabourforPorchesPer</f>
        <v/>
      </c>
      <c r="G55" s="36">
        <f>D55 * E55</f>
        <v>150</v>
      </c>
    </row>
    <row r="56" spans="1:7" x14ac:dyDescent="0.2">
      <c r="D56" s="36"/>
      <c r="E56" s="37"/>
      <c r="F56" s="27"/>
      <c r="G56" s="36"/>
    </row>
    <row r="57" spans="1:7" x14ac:dyDescent="0.2">
      <c r="A57" s="103"/>
      <c r="B57" s="103"/>
      <c r="C57" s="103"/>
      <c r="D57" s="36"/>
      <c r="E57" s="37"/>
      <c r="G57" s="36"/>
    </row>
    <row r="58" spans="1:7" x14ac:dyDescent="0.2">
      <c r="F58" s="34" t="s">
        <v>5</v>
      </c>
      <c r="G58" s="35">
        <f>SUM(G51:G57)</f>
        <v>196.6</v>
      </c>
    </row>
    <row r="62" spans="1:7" x14ac:dyDescent="0.2">
      <c r="A62" s="34"/>
      <c r="B62" s="38"/>
    </row>
    <row r="64" spans="1:7" x14ac:dyDescent="0.2">
      <c r="A64" s="34"/>
      <c r="B64" s="38"/>
    </row>
    <row r="66" spans="1:3" x14ac:dyDescent="0.2">
      <c r="A66" s="34"/>
      <c r="B66" s="38"/>
    </row>
    <row r="68" spans="1:3" x14ac:dyDescent="0.2">
      <c r="A68" s="34"/>
      <c r="B68" s="38"/>
    </row>
    <row r="71" spans="1:3" x14ac:dyDescent="0.2">
      <c r="A71" s="34"/>
      <c r="B71" s="38"/>
      <c r="C71" s="39"/>
    </row>
    <row r="73" spans="1:3" x14ac:dyDescent="0.2">
      <c r="A73" s="34"/>
      <c r="B73" s="38"/>
    </row>
    <row r="75" spans="1:3" x14ac:dyDescent="0.2">
      <c r="A75" s="34"/>
      <c r="B75" s="38"/>
      <c r="C75" s="39"/>
    </row>
    <row r="77" spans="1:3" x14ac:dyDescent="0.2">
      <c r="A77" s="34"/>
      <c r="B77" s="38"/>
    </row>
    <row r="79" spans="1:3" x14ac:dyDescent="0.2">
      <c r="A79" s="34"/>
      <c r="B79" s="38"/>
    </row>
    <row r="82" spans="1:3" x14ac:dyDescent="0.2">
      <c r="A82" s="34"/>
      <c r="B82" s="38"/>
    </row>
    <row r="84" spans="1:3" x14ac:dyDescent="0.2">
      <c r="A84" s="34"/>
      <c r="B84" s="38"/>
    </row>
    <row r="86" spans="1:3" x14ac:dyDescent="0.2">
      <c r="A86" s="34"/>
      <c r="B86" s="38"/>
      <c r="C86" s="39"/>
    </row>
    <row r="89" spans="1:3" x14ac:dyDescent="0.2">
      <c r="A89" s="34"/>
      <c r="B89" s="40"/>
      <c r="C89" s="23"/>
    </row>
    <row r="92" spans="1:3" x14ac:dyDescent="0.2">
      <c r="A92" s="39"/>
      <c r="B92" s="41"/>
    </row>
  </sheetData>
  <mergeCells count="5">
    <mergeCell ref="B4:F4"/>
    <mergeCell ref="B5:F5"/>
    <mergeCell ref="A50:C50"/>
    <mergeCell ref="A51:C51"/>
    <mergeCell ref="A57:C57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E9246-28DB-4A77-AD3C-B6DE738AF6F8}">
  <dimension ref="A1:G93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189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139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44.04</v>
      </c>
      <c r="C9" s="23"/>
      <c r="D9" s="26"/>
    </row>
    <row r="10" spans="1:7" x14ac:dyDescent="0.2">
      <c r="A10" s="23" t="s">
        <v>114</v>
      </c>
      <c r="B10" s="24">
        <v>8.1999999999999993</v>
      </c>
      <c r="C10" s="23"/>
      <c r="D10" s="26"/>
    </row>
    <row r="11" spans="1:7" x14ac:dyDescent="0.2">
      <c r="A11" s="23" t="s">
        <v>117</v>
      </c>
      <c r="B11" s="24">
        <v>4.0999999999999996</v>
      </c>
      <c r="C11" s="23"/>
      <c r="D11" s="26"/>
    </row>
    <row r="12" spans="1:7" x14ac:dyDescent="0.2">
      <c r="A12" s="23" t="s">
        <v>118</v>
      </c>
      <c r="B12" s="24">
        <v>10.74</v>
      </c>
      <c r="C12" s="23"/>
      <c r="D12" s="26"/>
    </row>
    <row r="13" spans="1:7" x14ac:dyDescent="0.2">
      <c r="A13" s="23" t="s">
        <v>119</v>
      </c>
      <c r="B13" s="24">
        <v>600</v>
      </c>
      <c r="C13" s="23"/>
      <c r="D13" s="26"/>
    </row>
    <row r="14" spans="1:7" x14ac:dyDescent="0.2">
      <c r="A14" s="23" t="s">
        <v>120</v>
      </c>
      <c r="B14" s="24">
        <v>45</v>
      </c>
      <c r="C14" s="23"/>
      <c r="D14" s="26"/>
    </row>
    <row r="15" spans="1:7" x14ac:dyDescent="0.2">
      <c r="A15" s="23"/>
      <c r="C15" s="23"/>
      <c r="D15" s="26"/>
    </row>
    <row r="16" spans="1:7" x14ac:dyDescent="0.2">
      <c r="A16" s="23"/>
      <c r="B16" s="27"/>
      <c r="C16" s="23"/>
      <c r="D16" s="26"/>
    </row>
    <row r="17" spans="1:7" x14ac:dyDescent="0.2">
      <c r="A17" s="28" t="s">
        <v>10</v>
      </c>
      <c r="B17" s="28"/>
      <c r="C17" s="28"/>
      <c r="D17" s="28"/>
      <c r="E17" s="28"/>
      <c r="F17" s="28"/>
      <c r="G17" s="28"/>
    </row>
    <row r="18" spans="1:7" x14ac:dyDescent="0.2">
      <c r="A18" s="28"/>
      <c r="B18" s="28"/>
      <c r="C18" s="28"/>
      <c r="D18" s="28"/>
      <c r="E18" s="28"/>
      <c r="F18" s="28"/>
      <c r="G18" s="28"/>
    </row>
    <row r="19" spans="1:7" x14ac:dyDescent="0.2">
      <c r="A19" s="29" t="s">
        <v>121</v>
      </c>
      <c r="B19" s="24" t="s">
        <v>122</v>
      </c>
      <c r="C19" s="29"/>
      <c r="D19" s="29"/>
      <c r="E19" s="29"/>
      <c r="F19" s="29"/>
    </row>
    <row r="20" spans="1:7" x14ac:dyDescent="0.2">
      <c r="A20" s="29" t="s">
        <v>123</v>
      </c>
      <c r="B20" s="24" t="s">
        <v>124</v>
      </c>
      <c r="C20" s="29"/>
      <c r="D20" s="29"/>
      <c r="E20" s="29"/>
      <c r="F20" s="29"/>
    </row>
    <row r="21" spans="1:7" x14ac:dyDescent="0.2">
      <c r="A21" s="29"/>
      <c r="B21" s="24" t="s">
        <v>125</v>
      </c>
      <c r="C21" s="29"/>
      <c r="D21" s="29"/>
      <c r="E21" s="29"/>
      <c r="F21" s="29"/>
    </row>
    <row r="22" spans="1:7" x14ac:dyDescent="0.2">
      <c r="A22" s="29" t="s">
        <v>126</v>
      </c>
      <c r="B22" s="24" t="s">
        <v>127</v>
      </c>
      <c r="C22" s="29"/>
      <c r="D22" s="29"/>
      <c r="E22" s="29"/>
      <c r="F22" s="29"/>
    </row>
    <row r="23" spans="1:7" x14ac:dyDescent="0.2">
      <c r="A23" s="29"/>
      <c r="B23" s="24" t="s">
        <v>142</v>
      </c>
      <c r="C23" s="29"/>
      <c r="D23" s="29"/>
      <c r="E23" s="29"/>
      <c r="F23" s="29"/>
    </row>
    <row r="24" spans="1:7" x14ac:dyDescent="0.2">
      <c r="A24" s="29" t="s">
        <v>132</v>
      </c>
      <c r="B24" s="24" t="s">
        <v>133</v>
      </c>
      <c r="C24" s="29"/>
      <c r="D24" s="29"/>
      <c r="E24" s="29"/>
      <c r="F24" s="29"/>
    </row>
    <row r="25" spans="1:7" x14ac:dyDescent="0.2">
      <c r="A25" s="29" t="s">
        <v>134</v>
      </c>
      <c r="B25" s="24" t="s">
        <v>135</v>
      </c>
      <c r="C25" s="29"/>
      <c r="D25" s="29"/>
      <c r="E25" s="29"/>
      <c r="F25" s="29"/>
    </row>
    <row r="26" spans="1:7" x14ac:dyDescent="0.2">
      <c r="A26" s="29" t="s">
        <v>136</v>
      </c>
      <c r="B26" s="24" t="s">
        <v>137</v>
      </c>
      <c r="C26" s="29"/>
      <c r="D26" s="29"/>
      <c r="E26" s="29"/>
      <c r="F26" s="29"/>
    </row>
    <row r="27" spans="1:7" x14ac:dyDescent="0.2">
      <c r="A27" s="29"/>
      <c r="C27" s="29"/>
      <c r="D27" s="29"/>
      <c r="E27" s="29"/>
      <c r="F27" s="29"/>
    </row>
    <row r="28" spans="1:7" x14ac:dyDescent="0.2">
      <c r="A28" s="29"/>
      <c r="C28" s="29"/>
      <c r="D28" s="29"/>
      <c r="E28" s="29"/>
      <c r="F28" s="29"/>
    </row>
    <row r="29" spans="1:7" x14ac:dyDescent="0.2">
      <c r="A29" s="25" t="s">
        <v>14</v>
      </c>
      <c r="B29" s="25"/>
      <c r="C29" s="25"/>
      <c r="D29" s="25"/>
      <c r="E29" s="25"/>
      <c r="F29" s="25"/>
      <c r="G29" s="25"/>
    </row>
    <row r="31" spans="1:7" s="29" customFormat="1" x14ac:dyDescent="0.2">
      <c r="A31" s="29" t="s">
        <v>25</v>
      </c>
      <c r="B31" s="29" t="s">
        <v>38</v>
      </c>
      <c r="C31" s="29" t="s">
        <v>2</v>
      </c>
      <c r="D31" s="30" t="s">
        <v>9</v>
      </c>
      <c r="E31" s="30" t="s">
        <v>3</v>
      </c>
      <c r="F31" s="30" t="s">
        <v>4</v>
      </c>
      <c r="G31" s="30" t="s">
        <v>16</v>
      </c>
    </row>
    <row r="32" spans="1:7" x14ac:dyDescent="0.2">
      <c r="A32" s="24" t="str">
        <f>MatP8815C0Colour</f>
        <v>Not Specified</v>
      </c>
      <c r="B32" s="24" t="str">
        <f>IF(MatP8815C0Code=0,"",MatP8815C0Code)</f>
        <v/>
      </c>
      <c r="C32" s="24" t="str">
        <f>MatP8815C0Desc</f>
        <v>TLE Tile</v>
      </c>
      <c r="D32" s="31">
        <v>461</v>
      </c>
      <c r="E32" s="32">
        <f>MatP8815C0Price</f>
        <v>1.2</v>
      </c>
      <c r="F32" s="33" t="str">
        <f>MatP8815C0PerText</f>
        <v>Each</v>
      </c>
      <c r="G32" s="32">
        <f t="shared" ref="G32:G45" si="0">D32 * E32</f>
        <v>553.19999999999993</v>
      </c>
    </row>
    <row r="33" spans="1:7" x14ac:dyDescent="0.2">
      <c r="A33" s="24" t="str">
        <f>MatP8870C0Colour</f>
        <v>Not Specified</v>
      </c>
      <c r="B33" s="24" t="str">
        <f>IF(MatP8870C0Code=0,"",MatP8870C0Code)</f>
        <v/>
      </c>
      <c r="C33" s="24" t="str">
        <f>MatP8870C0Desc</f>
        <v>Ridge Tile (450mm)</v>
      </c>
      <c r="D33" s="31">
        <v>10</v>
      </c>
      <c r="E33" s="32">
        <f>MatP8870C0Price</f>
        <v>3.64</v>
      </c>
      <c r="F33" s="33" t="str">
        <f>MatP8870C0PerText</f>
        <v>Each</v>
      </c>
      <c r="G33" s="32">
        <f t="shared" si="0"/>
        <v>36.4</v>
      </c>
    </row>
    <row r="34" spans="1:7" x14ac:dyDescent="0.2">
      <c r="A34" s="24" t="str">
        <f>MatP10135C0Colour</f>
        <v>Not Specified</v>
      </c>
      <c r="B34" s="24" t="str">
        <f>IF(MatP10135C0Code=0,"",MatP10135C0Code)</f>
        <v/>
      </c>
      <c r="C34" s="24" t="str">
        <f>MatP10135C0Desc</f>
        <v>VP300 Vapour Permeable Underlay (50m x 1m)</v>
      </c>
      <c r="D34" s="31">
        <v>2</v>
      </c>
      <c r="E34" s="32">
        <f>MatP10135C0Price</f>
        <v>35</v>
      </c>
      <c r="F34" s="33" t="str">
        <f>MatP10135C0PerText</f>
        <v>Roll</v>
      </c>
      <c r="G34" s="32">
        <f t="shared" si="0"/>
        <v>70</v>
      </c>
    </row>
    <row r="35" spans="1:7" x14ac:dyDescent="0.2">
      <c r="A35" s="24" t="str">
        <f>MatP9008C0Colour</f>
        <v>Not Specified</v>
      </c>
      <c r="B35" s="24" t="str">
        <f>IF(MatP9008C0Code=0,"",MatP9008C0Code)</f>
        <v/>
      </c>
      <c r="C35" s="24" t="str">
        <f>MatP9008C0Desc</f>
        <v>Battens (50mm x 25mm)</v>
      </c>
      <c r="D35" s="31">
        <v>150</v>
      </c>
      <c r="E35" s="32">
        <f>MatP9008C0Price</f>
        <v>0.9</v>
      </c>
      <c r="F35" s="33" t="str">
        <f>MatP9008C0PerText</f>
        <v>Metre</v>
      </c>
      <c r="G35" s="32">
        <f t="shared" si="0"/>
        <v>135</v>
      </c>
    </row>
    <row r="36" spans="1:7" x14ac:dyDescent="0.2">
      <c r="A36" s="24" t="str">
        <f>MatP8879C15Colour</f>
        <v>Not Specified</v>
      </c>
      <c r="B36" s="24" t="str">
        <f>IF(MatP8879C15Code=0,"",MatP8879C15Code)</f>
        <v/>
      </c>
      <c r="C36" s="24" t="str">
        <f>MatP8879C15Desc</f>
        <v>Universal Dry Ridge/Hip System (6m)</v>
      </c>
      <c r="D36" s="31">
        <v>1</v>
      </c>
      <c r="E36" s="32">
        <f>MatP8879C15Price</f>
        <v>28.09</v>
      </c>
      <c r="F36" s="33" t="str">
        <f>MatP8879C15PerText</f>
        <v>Pack</v>
      </c>
      <c r="G36" s="32">
        <f t="shared" si="0"/>
        <v>28.09</v>
      </c>
    </row>
    <row r="37" spans="1:7" x14ac:dyDescent="0.2">
      <c r="A37" s="24" t="str">
        <f>MatP8624C0Colour</f>
        <v>Not Specified</v>
      </c>
      <c r="B37" s="24" t="str">
        <f>IF(MatP8624C0Code=0,"",MatP8624C0Code)</f>
        <v/>
      </c>
      <c r="C37" s="24" t="str">
        <f>MatP8624C0Desc</f>
        <v>Generic Party Wall Insulation (1m)</v>
      </c>
      <c r="D37" s="31">
        <v>11</v>
      </c>
      <c r="E37" s="32">
        <f>MatP8624C0Price</f>
        <v>5</v>
      </c>
      <c r="F37" s="33" t="str">
        <f>MatP8624C0PerText</f>
        <v>Each</v>
      </c>
      <c r="G37" s="32">
        <f t="shared" si="0"/>
        <v>55</v>
      </c>
    </row>
    <row r="38" spans="1:7" x14ac:dyDescent="0.2">
      <c r="A38" s="24" t="str">
        <f>MatP8821C20Colour</f>
        <v>Not Specified</v>
      </c>
      <c r="B38" s="24" t="str">
        <f>IF(MatP8821C20Code=0,"",MatP8821C20Code)</f>
        <v/>
      </c>
      <c r="C38" s="24" t="str">
        <f>MatP8821C20Desc</f>
        <v>25mm Over Fascia Vent (1m)</v>
      </c>
      <c r="D38" s="31">
        <v>9</v>
      </c>
      <c r="E38" s="32">
        <f>MatP8821C20Price</f>
        <v>1.9</v>
      </c>
      <c r="F38" s="33" t="str">
        <f>MatP8821C20PerText</f>
        <v>Each</v>
      </c>
      <c r="G38" s="32">
        <f t="shared" si="0"/>
        <v>17.099999999999998</v>
      </c>
    </row>
    <row r="39" spans="1:7" x14ac:dyDescent="0.2">
      <c r="A39" s="24" t="str">
        <f>MatP8281C0Colour</f>
        <v>Not Specified</v>
      </c>
      <c r="B39" s="24" t="str">
        <f>IF(MatP8281C0Code=0,"",MatP8281C0Code)</f>
        <v/>
      </c>
      <c r="C39" s="24" t="str">
        <f>MatP8281C0Desc</f>
        <v>Generic Eave Insulation (1m)</v>
      </c>
      <c r="D39" s="31">
        <v>9</v>
      </c>
      <c r="E39" s="32">
        <f>MatP8281C0Price</f>
        <v>5</v>
      </c>
      <c r="F39" s="33" t="str">
        <f>MatP8281C0PerText</f>
        <v>Each</v>
      </c>
      <c r="G39" s="32">
        <f t="shared" si="0"/>
        <v>45</v>
      </c>
    </row>
    <row r="40" spans="1:7" x14ac:dyDescent="0.2">
      <c r="A40" s="24" t="str">
        <f>MatP8866C20Colour</f>
        <v>Not Specified</v>
      </c>
      <c r="B40" s="24" t="str">
        <f>IF(MatP8866C20Code=0,"",MatP8866C20Code)</f>
        <v/>
      </c>
      <c r="C40" s="24" t="str">
        <f>MatP8866C20Desc</f>
        <v>Rafter Roll (6m x 600mm)</v>
      </c>
      <c r="D40" s="31">
        <v>2</v>
      </c>
      <c r="E40" s="32">
        <f>MatP8866C20Price</f>
        <v>9.5</v>
      </c>
      <c r="F40" s="33" t="str">
        <f>MatP8866C20PerText</f>
        <v>Each</v>
      </c>
      <c r="G40" s="32">
        <f t="shared" si="0"/>
        <v>19</v>
      </c>
    </row>
    <row r="41" spans="1:7" x14ac:dyDescent="0.2">
      <c r="A41" s="24" t="str">
        <f>MatP8874C20Colour</f>
        <v>Not Specified</v>
      </c>
      <c r="B41" s="24" t="str">
        <f>IF(MatP8874C20Code=0,"",MatP8874C20Code)</f>
        <v/>
      </c>
      <c r="C41" s="24" t="str">
        <f>MatP8874C20Desc</f>
        <v>Underlay Support Tray (1.5m)</v>
      </c>
      <c r="D41" s="31">
        <v>6</v>
      </c>
      <c r="E41" s="32">
        <f>MatP8874C20Price</f>
        <v>1.5</v>
      </c>
      <c r="F41" s="33" t="str">
        <f>MatP8874C20PerText</f>
        <v>Each</v>
      </c>
      <c r="G41" s="32">
        <f t="shared" si="0"/>
        <v>9</v>
      </c>
    </row>
    <row r="42" spans="1:7" x14ac:dyDescent="0.2">
      <c r="A42" s="24" t="str">
        <f>MatP8872C539Colour</f>
        <v>Not Specified</v>
      </c>
      <c r="B42" s="24" t="str">
        <f>IF(MatP8872C539Code=0,"",MatP8872C539Code)</f>
        <v/>
      </c>
      <c r="C42" s="24" t="str">
        <f>MatP8872C539Desc</f>
        <v>Sidelock Tile Clips (TLE)</v>
      </c>
      <c r="D42" s="31">
        <v>196</v>
      </c>
      <c r="E42" s="32">
        <f>MatP8872C539Price</f>
        <v>7.0000000000000007E-2</v>
      </c>
      <c r="F42" s="33" t="str">
        <f>MatP8872C539PerText</f>
        <v>Each</v>
      </c>
      <c r="G42" s="32">
        <f t="shared" si="0"/>
        <v>13.72</v>
      </c>
    </row>
    <row r="43" spans="1:7" x14ac:dyDescent="0.2">
      <c r="A43" s="24" t="str">
        <f>MatP8831C539Colour</f>
        <v>Not Specified</v>
      </c>
      <c r="B43" s="24" t="str">
        <f>IF(MatP8831C539Code=0,"",MatP8831C539Code)</f>
        <v/>
      </c>
      <c r="C43" s="24" t="str">
        <f>MatP8831C539Desc</f>
        <v>Eave Clip</v>
      </c>
      <c r="D43" s="31">
        <v>28</v>
      </c>
      <c r="E43" s="32">
        <f>MatP8831C539Price</f>
        <v>0.1</v>
      </c>
      <c r="F43" s="33" t="str">
        <f>MatP8831C539PerText</f>
        <v>Each</v>
      </c>
      <c r="G43" s="32">
        <f t="shared" si="0"/>
        <v>2.8000000000000003</v>
      </c>
    </row>
    <row r="44" spans="1:7" x14ac:dyDescent="0.2">
      <c r="A44" s="24" t="str">
        <f>MatP9318C0Colour</f>
        <v>Not Specified</v>
      </c>
      <c r="B44" s="24" t="str">
        <f>IF(MatP9318C0Code=0,"",MatP9318C0Code)</f>
        <v/>
      </c>
      <c r="C44" s="24" t="str">
        <f>MatP9318C0Desc</f>
        <v>45mm x 3.35mm Aluminium Nails</v>
      </c>
      <c r="D44" s="31">
        <v>2</v>
      </c>
      <c r="E44" s="32">
        <f>MatP9318C0Price</f>
        <v>7.28</v>
      </c>
      <c r="F44" s="33" t="str">
        <f>MatP9318C0PerText</f>
        <v>Kg</v>
      </c>
      <c r="G44" s="32">
        <f t="shared" si="0"/>
        <v>14.56</v>
      </c>
    </row>
    <row r="45" spans="1:7" x14ac:dyDescent="0.2">
      <c r="A45" s="24" t="str">
        <f>MatP9100C0Colour</f>
        <v>Not Specified</v>
      </c>
      <c r="B45" s="24" t="str">
        <f>IF(MatP9100C0Code=0,"",MatP9100C0Code)</f>
        <v/>
      </c>
      <c r="C45" s="24" t="str">
        <f>MatP9100C0Desc</f>
        <v>Batten Nails - 65mm x 3.35mm Galvanised</v>
      </c>
      <c r="D45" s="31">
        <v>2</v>
      </c>
      <c r="E45" s="32">
        <f>MatP9100C0Price</f>
        <v>4.5</v>
      </c>
      <c r="F45" s="33" t="str">
        <f>MatP9100C0PerText</f>
        <v>Kg</v>
      </c>
      <c r="G45" s="32">
        <f t="shared" si="0"/>
        <v>9</v>
      </c>
    </row>
    <row r="46" spans="1:7" x14ac:dyDescent="0.2">
      <c r="D46" s="31"/>
      <c r="E46" s="32"/>
      <c r="F46" s="33"/>
      <c r="G46" s="32"/>
    </row>
    <row r="47" spans="1:7" x14ac:dyDescent="0.2">
      <c r="F47" s="34" t="s">
        <v>5</v>
      </c>
      <c r="G47" s="35">
        <f>SUM(G32:G46)</f>
        <v>1007.8699999999999</v>
      </c>
    </row>
    <row r="48" spans="1:7" x14ac:dyDescent="0.2">
      <c r="G48" s="34"/>
    </row>
    <row r="49" spans="1:7" x14ac:dyDescent="0.2">
      <c r="A49" s="25" t="s">
        <v>15</v>
      </c>
      <c r="B49" s="25"/>
      <c r="D49" s="25"/>
      <c r="E49" s="25"/>
      <c r="F49" s="25"/>
      <c r="G49" s="25"/>
    </row>
    <row r="51" spans="1:7" x14ac:dyDescent="0.2">
      <c r="A51" s="102" t="s">
        <v>6</v>
      </c>
      <c r="B51" s="102"/>
      <c r="C51" s="102"/>
      <c r="D51" s="34" t="s">
        <v>7</v>
      </c>
      <c r="E51" s="34" t="s">
        <v>9</v>
      </c>
      <c r="F51" s="34" t="s">
        <v>8</v>
      </c>
      <c r="G51" s="34" t="s">
        <v>16</v>
      </c>
    </row>
    <row r="52" spans="1:7" x14ac:dyDescent="0.2">
      <c r="A52" s="103" t="str">
        <f>LabP8815R6L1G1Desc</f>
        <v>Main Area</v>
      </c>
      <c r="B52" s="103"/>
      <c r="C52" s="103"/>
      <c r="D52" s="36">
        <f>LabP8815R6L1G1Rate</f>
        <v>9</v>
      </c>
      <c r="E52" s="37">
        <f>'MSL-MID-Main Roof'!Area</f>
        <v>44.04</v>
      </c>
      <c r="F52" s="27" t="str">
        <f xml:space="preserve"> "" &amp; LabP8815R6L1G1Per</f>
        <v>m²</v>
      </c>
      <c r="G52" s="36">
        <f>D52 * E52</f>
        <v>396.36</v>
      </c>
    </row>
    <row r="53" spans="1:7" x14ac:dyDescent="0.2">
      <c r="A53" s="24" t="str">
        <f>LabP8815R0L1G2Desc</f>
        <v>Eave</v>
      </c>
      <c r="D53" s="36">
        <f>LabP8815R0L1G2Rate</f>
        <v>2.5</v>
      </c>
      <c r="E53" s="37">
        <f>'MSL-MID-Main Roof'!Eave</f>
        <v>8.1999999999999993</v>
      </c>
      <c r="F53" s="27" t="str">
        <f xml:space="preserve"> "" &amp; LabP8815R0L1G2Per</f>
        <v>m</v>
      </c>
      <c r="G53" s="36">
        <f>D53 * E53</f>
        <v>20.5</v>
      </c>
    </row>
    <row r="54" spans="1:7" x14ac:dyDescent="0.2">
      <c r="A54" s="24" t="str">
        <f>LabP8815R0L1G8Desc</f>
        <v>Duo Ridge</v>
      </c>
      <c r="D54" s="36">
        <f>LabP8815R0L1G8Rate</f>
        <v>2.5</v>
      </c>
      <c r="E54" s="37">
        <f>'MSL-MID-Main Roof'!DuoRidge</f>
        <v>4.0999999999999996</v>
      </c>
      <c r="F54" s="27" t="str">
        <f xml:space="preserve"> "" &amp; LabP8815R0L1G8Per</f>
        <v>m</v>
      </c>
      <c r="G54" s="36">
        <f>D54 * E54</f>
        <v>10.25</v>
      </c>
    </row>
    <row r="55" spans="1:7" x14ac:dyDescent="0.2">
      <c r="A55" s="24" t="str">
        <f>LabP8815R0L1G241Desc</f>
        <v>Party Wall Insulation</v>
      </c>
      <c r="D55" s="36">
        <f>LabP8815R0L1G241Rate</f>
        <v>1.5</v>
      </c>
      <c r="E55" s="37">
        <v>10.74</v>
      </c>
      <c r="F55" s="27" t="str">
        <f xml:space="preserve"> "" &amp; LabP8815R0L1G241Per</f>
        <v>m</v>
      </c>
      <c r="G55" s="36">
        <f>D55 * E55</f>
        <v>16.11</v>
      </c>
    </row>
    <row r="56" spans="1:7" x14ac:dyDescent="0.2">
      <c r="A56" s="24" t="str">
        <f>LabP8815R30LabLabourforCuttingtoVeluxDesc</f>
        <v>Labour for Cutting to Velux</v>
      </c>
      <c r="D56" s="36">
        <f>LabP8815R30LabLabourforCuttingtoVeluxRate</f>
        <v>30</v>
      </c>
      <c r="E56" s="37">
        <v>1</v>
      </c>
      <c r="F56" s="27" t="str">
        <f xml:space="preserve"> "" &amp; LabP8815R30LabLabourforCuttingtoVeluxPer</f>
        <v/>
      </c>
      <c r="G56" s="36">
        <f>D56 * E56</f>
        <v>30</v>
      </c>
    </row>
    <row r="57" spans="1:7" x14ac:dyDescent="0.2">
      <c r="D57" s="36"/>
      <c r="E57" s="37"/>
      <c r="F57" s="27"/>
      <c r="G57" s="36"/>
    </row>
    <row r="58" spans="1:7" x14ac:dyDescent="0.2">
      <c r="A58" s="103"/>
      <c r="B58" s="103"/>
      <c r="C58" s="103"/>
      <c r="D58" s="36"/>
      <c r="E58" s="37"/>
      <c r="G58" s="36"/>
    </row>
    <row r="59" spans="1:7" x14ac:dyDescent="0.2">
      <c r="F59" s="34" t="s">
        <v>5</v>
      </c>
      <c r="G59" s="35">
        <f>SUM(G52:G58)</f>
        <v>473.22</v>
      </c>
    </row>
    <row r="63" spans="1:7" x14ac:dyDescent="0.2">
      <c r="A63" s="34"/>
      <c r="B63" s="38"/>
    </row>
    <row r="65" spans="1:3" x14ac:dyDescent="0.2">
      <c r="A65" s="34"/>
      <c r="B65" s="38"/>
    </row>
    <row r="67" spans="1:3" x14ac:dyDescent="0.2">
      <c r="A67" s="34"/>
      <c r="B67" s="38"/>
    </row>
    <row r="69" spans="1:3" x14ac:dyDescent="0.2">
      <c r="A69" s="34"/>
      <c r="B69" s="38"/>
    </row>
    <row r="72" spans="1:3" x14ac:dyDescent="0.2">
      <c r="A72" s="34"/>
      <c r="B72" s="38"/>
      <c r="C72" s="39"/>
    </row>
    <row r="74" spans="1:3" x14ac:dyDescent="0.2">
      <c r="A74" s="34"/>
      <c r="B74" s="38"/>
    </row>
    <row r="76" spans="1:3" x14ac:dyDescent="0.2">
      <c r="A76" s="34"/>
      <c r="B76" s="38"/>
      <c r="C76" s="39"/>
    </row>
    <row r="78" spans="1:3" x14ac:dyDescent="0.2">
      <c r="A78" s="34"/>
      <c r="B78" s="38"/>
    </row>
    <row r="80" spans="1:3" x14ac:dyDescent="0.2">
      <c r="A80" s="34"/>
      <c r="B80" s="38"/>
    </row>
    <row r="83" spans="1:3" x14ac:dyDescent="0.2">
      <c r="A83" s="34"/>
      <c r="B83" s="38"/>
    </row>
    <row r="85" spans="1:3" x14ac:dyDescent="0.2">
      <c r="A85" s="34"/>
      <c r="B85" s="38"/>
    </row>
    <row r="87" spans="1:3" x14ac:dyDescent="0.2">
      <c r="A87" s="34"/>
      <c r="B87" s="38"/>
      <c r="C87" s="39"/>
    </row>
    <row r="90" spans="1:3" x14ac:dyDescent="0.2">
      <c r="A90" s="34"/>
      <c r="B90" s="40"/>
      <c r="C90" s="23"/>
    </row>
    <row r="93" spans="1:3" x14ac:dyDescent="0.2">
      <c r="A93" s="39"/>
      <c r="B93" s="41"/>
    </row>
  </sheetData>
  <mergeCells count="5">
    <mergeCell ref="B4:F4"/>
    <mergeCell ref="B5:F5"/>
    <mergeCell ref="A51:C51"/>
    <mergeCell ref="A52:C52"/>
    <mergeCell ref="A58:C58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18E02-6A02-4930-8C92-E803752C598F}">
  <dimension ref="A1:G92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189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145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1.65</v>
      </c>
      <c r="C9" s="23"/>
      <c r="D9" s="26"/>
    </row>
    <row r="10" spans="1:7" x14ac:dyDescent="0.2">
      <c r="A10" s="23" t="s">
        <v>114</v>
      </c>
      <c r="B10" s="24">
        <v>1.5</v>
      </c>
      <c r="C10" s="23"/>
      <c r="D10" s="26"/>
    </row>
    <row r="11" spans="1:7" x14ac:dyDescent="0.2">
      <c r="A11" s="23" t="s">
        <v>141</v>
      </c>
      <c r="B11" s="24">
        <v>1.5</v>
      </c>
      <c r="C11" s="23"/>
      <c r="D11" s="26"/>
    </row>
    <row r="12" spans="1:7" x14ac:dyDescent="0.2">
      <c r="A12" s="23" t="s">
        <v>115</v>
      </c>
      <c r="B12" s="24">
        <v>1.1000000000000001</v>
      </c>
      <c r="C12" s="23"/>
      <c r="D12" s="26"/>
    </row>
    <row r="13" spans="1:7" x14ac:dyDescent="0.2">
      <c r="A13" s="23" t="s">
        <v>116</v>
      </c>
      <c r="B13" s="24">
        <v>1.1000000000000001</v>
      </c>
      <c r="C13" s="23"/>
      <c r="D13" s="26"/>
    </row>
    <row r="14" spans="1:7" x14ac:dyDescent="0.2">
      <c r="A14" s="23" t="s">
        <v>119</v>
      </c>
      <c r="B14" s="24">
        <v>600</v>
      </c>
      <c r="C14" s="23"/>
      <c r="D14" s="26"/>
    </row>
    <row r="15" spans="1:7" x14ac:dyDescent="0.2">
      <c r="A15" s="23" t="s">
        <v>120</v>
      </c>
      <c r="B15" s="24">
        <v>35</v>
      </c>
      <c r="C15" s="23"/>
      <c r="D15" s="26"/>
    </row>
    <row r="16" spans="1:7" x14ac:dyDescent="0.2">
      <c r="A16" s="23"/>
      <c r="C16" s="23"/>
      <c r="D16" s="26"/>
    </row>
    <row r="17" spans="1:7" x14ac:dyDescent="0.2">
      <c r="A17" s="23"/>
      <c r="B17" s="27"/>
      <c r="C17" s="23"/>
      <c r="D17" s="26"/>
    </row>
    <row r="18" spans="1:7" x14ac:dyDescent="0.2">
      <c r="A18" s="28" t="s">
        <v>10</v>
      </c>
      <c r="B18" s="28"/>
      <c r="C18" s="28"/>
      <c r="D18" s="28"/>
      <c r="E18" s="28"/>
      <c r="F18" s="28"/>
      <c r="G18" s="28"/>
    </row>
    <row r="19" spans="1:7" x14ac:dyDescent="0.2">
      <c r="A19" s="28"/>
      <c r="B19" s="28"/>
      <c r="C19" s="28"/>
      <c r="D19" s="28"/>
      <c r="E19" s="28"/>
      <c r="F19" s="28"/>
      <c r="G19" s="28"/>
    </row>
    <row r="20" spans="1:7" x14ac:dyDescent="0.2">
      <c r="A20" s="29" t="s">
        <v>121</v>
      </c>
      <c r="B20" s="24" t="s">
        <v>122</v>
      </c>
      <c r="C20" s="29"/>
      <c r="D20" s="29"/>
      <c r="E20" s="29"/>
      <c r="F20" s="29"/>
    </row>
    <row r="21" spans="1:7" x14ac:dyDescent="0.2">
      <c r="A21" s="29" t="s">
        <v>123</v>
      </c>
      <c r="B21" s="24" t="s">
        <v>124</v>
      </c>
      <c r="C21" s="29"/>
      <c r="D21" s="29"/>
      <c r="E21" s="29"/>
      <c r="F21" s="29"/>
    </row>
    <row r="22" spans="1:7" x14ac:dyDescent="0.2">
      <c r="A22" s="29"/>
      <c r="B22" s="24" t="s">
        <v>154</v>
      </c>
      <c r="C22" s="29"/>
      <c r="D22" s="29"/>
      <c r="E22" s="29"/>
      <c r="F22" s="29"/>
    </row>
    <row r="23" spans="1:7" x14ac:dyDescent="0.2">
      <c r="A23" s="29" t="s">
        <v>126</v>
      </c>
      <c r="B23" s="24" t="s">
        <v>127</v>
      </c>
      <c r="C23" s="29"/>
      <c r="D23" s="29"/>
      <c r="E23" s="29"/>
      <c r="F23" s="29"/>
    </row>
    <row r="24" spans="1:7" x14ac:dyDescent="0.2">
      <c r="A24" s="29"/>
      <c r="B24" s="24" t="s">
        <v>67</v>
      </c>
      <c r="C24" s="29"/>
      <c r="D24" s="29"/>
      <c r="E24" s="29"/>
      <c r="F24" s="29"/>
    </row>
    <row r="25" spans="1:7" x14ac:dyDescent="0.2">
      <c r="A25" s="29" t="s">
        <v>129</v>
      </c>
      <c r="B25" s="24" t="s">
        <v>130</v>
      </c>
      <c r="C25" s="29"/>
      <c r="D25" s="29"/>
      <c r="E25" s="29"/>
      <c r="F25" s="29"/>
    </row>
    <row r="26" spans="1:7" x14ac:dyDescent="0.2">
      <c r="A26" s="29" t="s">
        <v>134</v>
      </c>
      <c r="B26" s="24" t="s">
        <v>135</v>
      </c>
      <c r="C26" s="29"/>
      <c r="D26" s="29"/>
      <c r="E26" s="29"/>
      <c r="F26" s="29"/>
    </row>
    <row r="27" spans="1:7" x14ac:dyDescent="0.2">
      <c r="A27" s="29" t="s">
        <v>143</v>
      </c>
      <c r="B27" s="24" t="s">
        <v>144</v>
      </c>
      <c r="C27" s="29"/>
      <c r="D27" s="29"/>
      <c r="E27" s="29"/>
      <c r="F27" s="29"/>
    </row>
    <row r="28" spans="1:7" x14ac:dyDescent="0.2">
      <c r="A28" s="29"/>
      <c r="C28" s="29"/>
      <c r="D28" s="29"/>
      <c r="E28" s="29"/>
      <c r="F28" s="29"/>
    </row>
    <row r="29" spans="1:7" x14ac:dyDescent="0.2">
      <c r="A29" s="29"/>
      <c r="C29" s="29"/>
      <c r="D29" s="29"/>
      <c r="E29" s="29"/>
      <c r="F29" s="29"/>
    </row>
    <row r="30" spans="1:7" x14ac:dyDescent="0.2">
      <c r="A30" s="25" t="s">
        <v>14</v>
      </c>
      <c r="B30" s="25"/>
      <c r="C30" s="25"/>
      <c r="D30" s="25"/>
      <c r="E30" s="25"/>
      <c r="F30" s="25"/>
      <c r="G30" s="25"/>
    </row>
    <row r="32" spans="1:7" s="29" customFormat="1" x14ac:dyDescent="0.2">
      <c r="A32" s="29" t="s">
        <v>25</v>
      </c>
      <c r="B32" s="29" t="s">
        <v>38</v>
      </c>
      <c r="C32" s="29" t="s">
        <v>2</v>
      </c>
      <c r="D32" s="30" t="s">
        <v>9</v>
      </c>
      <c r="E32" s="30" t="s">
        <v>3</v>
      </c>
      <c r="F32" s="30" t="s">
        <v>4</v>
      </c>
      <c r="G32" s="30" t="s">
        <v>16</v>
      </c>
    </row>
    <row r="33" spans="1:7" x14ac:dyDescent="0.2">
      <c r="A33" s="24" t="str">
        <f>MatP8815C0Colour</f>
        <v>Not Specified</v>
      </c>
      <c r="B33" s="24" t="str">
        <f>IF(MatP8815C0Code=0,"",MatP8815C0Code)</f>
        <v/>
      </c>
      <c r="C33" s="24" t="str">
        <f>MatP8815C0Desc</f>
        <v>TLE Tile</v>
      </c>
      <c r="D33" s="31">
        <v>21</v>
      </c>
      <c r="E33" s="32">
        <f>MatP8815C0Price</f>
        <v>1.2</v>
      </c>
      <c r="F33" s="33" t="str">
        <f>MatP8815C0PerText</f>
        <v>Each</v>
      </c>
      <c r="G33" s="32">
        <f t="shared" ref="G33:G44" si="0">D33 * E33</f>
        <v>25.2</v>
      </c>
    </row>
    <row r="34" spans="1:7" x14ac:dyDescent="0.2">
      <c r="A34" s="24" t="str">
        <f>MatP9008C0Colour</f>
        <v>Not Specified</v>
      </c>
      <c r="B34" s="24" t="str">
        <f>IF(MatP9008C0Code=0,"",MatP9008C0Code)</f>
        <v/>
      </c>
      <c r="C34" s="24" t="str">
        <f>MatP9008C0Desc</f>
        <v>Battens (50mm x 25mm)</v>
      </c>
      <c r="D34" s="31">
        <v>5</v>
      </c>
      <c r="E34" s="32">
        <f>MatP9008C0Price</f>
        <v>0.9</v>
      </c>
      <c r="F34" s="33" t="str">
        <f>MatP9008C0PerText</f>
        <v>Metre</v>
      </c>
      <c r="G34" s="32">
        <f t="shared" si="0"/>
        <v>4.5</v>
      </c>
    </row>
    <row r="35" spans="1:7" x14ac:dyDescent="0.2">
      <c r="A35" s="24" t="str">
        <f>MatP8869C0Colour</f>
        <v>Not Specified</v>
      </c>
      <c r="B35" s="24" t="str">
        <f>IF(MatP8869C0Code=0,"",MatP8869C0Code)</f>
        <v/>
      </c>
      <c r="C35" s="24" t="str">
        <f>MatP8869C0Desc</f>
        <v>RH Uni-Fix Dry Verge Unit</v>
      </c>
      <c r="D35" s="31">
        <v>8</v>
      </c>
      <c r="E35" s="32">
        <f>MatP8869C0Price</f>
        <v>1.1000000000000001</v>
      </c>
      <c r="F35" s="33" t="str">
        <f>MatP8869C0PerText</f>
        <v>Each</v>
      </c>
      <c r="G35" s="32">
        <f t="shared" si="0"/>
        <v>8.8000000000000007</v>
      </c>
    </row>
    <row r="36" spans="1:7" x14ac:dyDescent="0.2">
      <c r="A36" s="24" t="str">
        <f>MatP8857C0Colour</f>
        <v>Not Specified</v>
      </c>
      <c r="B36" s="24" t="str">
        <f>IF(MatP8857C0Code=0,"",MatP8857C0Code)</f>
        <v/>
      </c>
      <c r="C36" s="24" t="str">
        <f>MatP8857C0Desc</f>
        <v>LH Uni-Fix Dry Verge Unit</v>
      </c>
      <c r="D36" s="31">
        <v>8</v>
      </c>
      <c r="E36" s="32">
        <f>MatP8857C0Price</f>
        <v>1.1000000000000001</v>
      </c>
      <c r="F36" s="33" t="str">
        <f>MatP8857C0PerText</f>
        <v>Each</v>
      </c>
      <c r="G36" s="32">
        <f t="shared" si="0"/>
        <v>8.8000000000000007</v>
      </c>
    </row>
    <row r="37" spans="1:7" x14ac:dyDescent="0.2">
      <c r="A37" s="24" t="str">
        <f>MatP8830C20Colour</f>
        <v>Not Specified</v>
      </c>
      <c r="B37" s="24" t="str">
        <f>IF(MatP8830C20Code=0,"",MatP8830C20Code)</f>
        <v/>
      </c>
      <c r="C37" s="24" t="str">
        <f>MatP8830C20Desc</f>
        <v>Dry Verge Starter Unit</v>
      </c>
      <c r="D37" s="31">
        <v>2</v>
      </c>
      <c r="E37" s="32">
        <f>MatP8830C20Price</f>
        <v>1.51</v>
      </c>
      <c r="F37" s="33" t="str">
        <f>MatP8830C20PerText</f>
        <v>Each</v>
      </c>
      <c r="G37" s="32">
        <f t="shared" si="0"/>
        <v>3.02</v>
      </c>
    </row>
    <row r="38" spans="1:7" x14ac:dyDescent="0.2">
      <c r="A38" s="24" t="str">
        <f>MatP8281C0Colour</f>
        <v>Not Specified</v>
      </c>
      <c r="B38" s="24" t="str">
        <f>IF(MatP8281C0Code=0,"",MatP8281C0Code)</f>
        <v/>
      </c>
      <c r="C38" s="24" t="str">
        <f>MatP8281C0Desc</f>
        <v>Generic Eave Insulation (1m)</v>
      </c>
      <c r="D38" s="31">
        <v>2</v>
      </c>
      <c r="E38" s="32">
        <f>MatP8281C0Price</f>
        <v>5</v>
      </c>
      <c r="F38" s="33" t="str">
        <f>MatP8281C0PerText</f>
        <v>Each</v>
      </c>
      <c r="G38" s="32">
        <f t="shared" si="0"/>
        <v>10</v>
      </c>
    </row>
    <row r="39" spans="1:7" x14ac:dyDescent="0.2">
      <c r="A39" s="24" t="str">
        <f>MatP8874C20Colour</f>
        <v>Not Specified</v>
      </c>
      <c r="B39" s="24" t="str">
        <f>IF(MatP8874C20Code=0,"",MatP8874C20Code)</f>
        <v/>
      </c>
      <c r="C39" s="24" t="str">
        <f>MatP8874C20Desc</f>
        <v>Underlay Support Tray (1.5m)</v>
      </c>
      <c r="D39" s="31">
        <v>1</v>
      </c>
      <c r="E39" s="32">
        <f>MatP8874C20Price</f>
        <v>1.5</v>
      </c>
      <c r="F39" s="33" t="str">
        <f>MatP8874C20PerText</f>
        <v>Each</v>
      </c>
      <c r="G39" s="32">
        <f t="shared" si="0"/>
        <v>1.5</v>
      </c>
    </row>
    <row r="40" spans="1:7" x14ac:dyDescent="0.2">
      <c r="A40" s="24" t="str">
        <f>MatP8826C539Colour</f>
        <v>Not Specified</v>
      </c>
      <c r="B40" s="24" t="str">
        <f>IF(MatP8826C539Code=0,"",MatP8826C539Code)</f>
        <v/>
      </c>
      <c r="C40" s="24" t="str">
        <f>MatP8826C539Desc</f>
        <v>Metal Batten End Clips</v>
      </c>
      <c r="D40" s="31">
        <v>8</v>
      </c>
      <c r="E40" s="32">
        <f>MatP8826C539Price</f>
        <v>0.28000000000000003</v>
      </c>
      <c r="F40" s="33" t="str">
        <f>MatP8826C539PerText</f>
        <v>Each</v>
      </c>
      <c r="G40" s="32">
        <f t="shared" si="0"/>
        <v>2.2400000000000002</v>
      </c>
    </row>
    <row r="41" spans="1:7" x14ac:dyDescent="0.2">
      <c r="A41" s="24" t="str">
        <f>MatP8831C539Colour</f>
        <v>Not Specified</v>
      </c>
      <c r="B41" s="24" t="str">
        <f>IF(MatP8831C539Code=0,"",MatP8831C539Code)</f>
        <v/>
      </c>
      <c r="C41" s="24" t="str">
        <f>MatP8831C539Desc</f>
        <v>Eave Clip</v>
      </c>
      <c r="D41" s="31">
        <v>5</v>
      </c>
      <c r="E41" s="32">
        <f>MatP8831C539Price</f>
        <v>0.1</v>
      </c>
      <c r="F41" s="33" t="str">
        <f>MatP8831C539PerText</f>
        <v>Each</v>
      </c>
      <c r="G41" s="32">
        <f t="shared" si="0"/>
        <v>0.5</v>
      </c>
    </row>
    <row r="42" spans="1:7" x14ac:dyDescent="0.2">
      <c r="A42" s="24" t="str">
        <f>MatP9318C0Colour</f>
        <v>Not Specified</v>
      </c>
      <c r="B42" s="24" t="str">
        <f>IF(MatP9318C0Code=0,"",MatP9318C0Code)</f>
        <v/>
      </c>
      <c r="C42" s="24" t="str">
        <f>MatP9318C0Desc</f>
        <v>45mm x 3.35mm Aluminium Nails</v>
      </c>
      <c r="D42" s="31">
        <v>0.99999997764825821</v>
      </c>
      <c r="E42" s="32">
        <f>MatP9318C0Price</f>
        <v>7.28</v>
      </c>
      <c r="F42" s="33" t="str">
        <f>MatP9318C0PerText</f>
        <v>Kg</v>
      </c>
      <c r="G42" s="32">
        <f t="shared" si="0"/>
        <v>7.2799998372793198</v>
      </c>
    </row>
    <row r="43" spans="1:7" x14ac:dyDescent="0.2">
      <c r="A43" s="24" t="str">
        <f>MatP9100C0Colour</f>
        <v>Not Specified</v>
      </c>
      <c r="B43" s="24" t="str">
        <f>IF(MatP9100C0Code=0,"",MatP9100C0Code)</f>
        <v/>
      </c>
      <c r="C43" s="24" t="str">
        <f>MatP9100C0Desc</f>
        <v>Batten Nails - 65mm x 3.35mm Galvanised</v>
      </c>
      <c r="D43" s="31">
        <v>1</v>
      </c>
      <c r="E43" s="32">
        <f>MatP9100C0Price</f>
        <v>4.5</v>
      </c>
      <c r="F43" s="33" t="str">
        <f>MatP9100C0PerText</f>
        <v>Kg</v>
      </c>
      <c r="G43" s="32">
        <f t="shared" si="0"/>
        <v>4.5</v>
      </c>
    </row>
    <row r="44" spans="1:7" x14ac:dyDescent="0.2">
      <c r="A44" s="24" t="str">
        <f>MatP9066C92Colour</f>
        <v>Not Specified</v>
      </c>
      <c r="B44" s="24" t="str">
        <f>IF(MatP9066C92Code=0,"",MatP9066C92Code)</f>
        <v/>
      </c>
      <c r="C44" s="24" t="str">
        <f>MatP9066C92Desc</f>
        <v>Lead Code 4 - 300mm (6m)</v>
      </c>
      <c r="D44" s="31">
        <v>3</v>
      </c>
      <c r="E44" s="32">
        <f>MatP9066C92Price</f>
        <v>15.21</v>
      </c>
      <c r="F44" s="33" t="str">
        <f>MatP9066C92PerText</f>
        <v>Metre</v>
      </c>
      <c r="G44" s="32">
        <f t="shared" si="0"/>
        <v>45.63</v>
      </c>
    </row>
    <row r="45" spans="1:7" x14ac:dyDescent="0.2">
      <c r="D45" s="31"/>
      <c r="E45" s="32"/>
      <c r="F45" s="33"/>
      <c r="G45" s="32"/>
    </row>
    <row r="46" spans="1:7" x14ac:dyDescent="0.2">
      <c r="F46" s="34" t="s">
        <v>5</v>
      </c>
      <c r="G46" s="35">
        <f>SUM(G33:G45)</f>
        <v>121.96999983727932</v>
      </c>
    </row>
    <row r="47" spans="1:7" x14ac:dyDescent="0.2">
      <c r="G47" s="34"/>
    </row>
    <row r="48" spans="1:7" x14ac:dyDescent="0.2">
      <c r="A48" s="25" t="s">
        <v>15</v>
      </c>
      <c r="B48" s="25"/>
      <c r="D48" s="25"/>
      <c r="E48" s="25"/>
      <c r="F48" s="25"/>
      <c r="G48" s="25"/>
    </row>
    <row r="50" spans="1:7" x14ac:dyDescent="0.2">
      <c r="A50" s="102" t="s">
        <v>6</v>
      </c>
      <c r="B50" s="102"/>
      <c r="C50" s="102"/>
      <c r="D50" s="34" t="s">
        <v>7</v>
      </c>
      <c r="E50" s="34" t="s">
        <v>9</v>
      </c>
      <c r="F50" s="34" t="s">
        <v>8</v>
      </c>
      <c r="G50" s="34" t="s">
        <v>16</v>
      </c>
    </row>
    <row r="51" spans="1:7" x14ac:dyDescent="0.2">
      <c r="A51" s="103" t="str">
        <f>LabP8815R6L1G1Desc</f>
        <v>Main Area</v>
      </c>
      <c r="B51" s="103"/>
      <c r="C51" s="103"/>
      <c r="D51" s="36">
        <f>LabP8815R6L1G1Rate</f>
        <v>9</v>
      </c>
      <c r="E51" s="37">
        <f>'MSL-MID-Porch (Lean to)'!Area</f>
        <v>1.65</v>
      </c>
      <c r="F51" s="27" t="str">
        <f xml:space="preserve"> "" &amp; LabP8815R6L1G1Per</f>
        <v>m²</v>
      </c>
      <c r="G51" s="36">
        <f>D51 * E51</f>
        <v>14.85</v>
      </c>
    </row>
    <row r="52" spans="1:7" x14ac:dyDescent="0.2">
      <c r="A52" s="24" t="str">
        <f>LabP8815R0L1G2Desc</f>
        <v>Eave</v>
      </c>
      <c r="D52" s="36">
        <f>LabP8815R0L1G2Rate</f>
        <v>2.5</v>
      </c>
      <c r="E52" s="37">
        <f>'MSL-MID-Porch (Lean to)'!Eave</f>
        <v>1.5</v>
      </c>
      <c r="F52" s="27" t="str">
        <f xml:space="preserve"> "" &amp; LabP8815R0L1G2Per</f>
        <v>m</v>
      </c>
      <c r="G52" s="36">
        <f>D52 * E52</f>
        <v>3.75</v>
      </c>
    </row>
    <row r="53" spans="1:7" x14ac:dyDescent="0.2">
      <c r="A53" s="24" t="str">
        <f>LabP8815R0L1G3Desc</f>
        <v>Verge</v>
      </c>
      <c r="D53" s="36">
        <f>LabP8815R0L1G3Rate</f>
        <v>2.5</v>
      </c>
      <c r="E53" s="37">
        <f>LeftVerge+RightVerge</f>
        <v>2.2000000000000002</v>
      </c>
      <c r="F53" s="27" t="str">
        <f xml:space="preserve"> "" &amp; LabP8815R0L1G3Per</f>
        <v>m</v>
      </c>
      <c r="G53" s="36">
        <f>D53 * E53</f>
        <v>5.5</v>
      </c>
    </row>
    <row r="54" spans="1:7" x14ac:dyDescent="0.2">
      <c r="A54" s="24" t="str">
        <f>LabP8815R15L1G243Desc</f>
        <v>Apron Flashing (Code 4)</v>
      </c>
      <c r="D54" s="36">
        <f>LabP8815R15L1G243Rate</f>
        <v>15</v>
      </c>
      <c r="E54" s="37">
        <v>1.5</v>
      </c>
      <c r="F54" s="27" t="str">
        <f xml:space="preserve"> "" &amp; LabP8815R15L1G243Per</f>
        <v>m</v>
      </c>
      <c r="G54" s="36">
        <f>D54 * E54</f>
        <v>22.5</v>
      </c>
    </row>
    <row r="55" spans="1:7" x14ac:dyDescent="0.2">
      <c r="A55" s="24" t="str">
        <f>LabP8815R150LabLabourforPorchesDesc</f>
        <v>Labour for Porches</v>
      </c>
      <c r="D55" s="36">
        <f>LabP8815R150LabLabourforPorchesRate</f>
        <v>150</v>
      </c>
      <c r="E55" s="37">
        <v>1</v>
      </c>
      <c r="F55" s="27" t="str">
        <f xml:space="preserve"> "" &amp; LabP8815R150LabLabourforPorchesPer</f>
        <v/>
      </c>
      <c r="G55" s="36">
        <f>D55 * E55</f>
        <v>150</v>
      </c>
    </row>
    <row r="56" spans="1:7" x14ac:dyDescent="0.2">
      <c r="D56" s="36"/>
      <c r="E56" s="37"/>
      <c r="F56" s="27"/>
      <c r="G56" s="36"/>
    </row>
    <row r="57" spans="1:7" x14ac:dyDescent="0.2">
      <c r="A57" s="103"/>
      <c r="B57" s="103"/>
      <c r="C57" s="103"/>
      <c r="D57" s="36"/>
      <c r="E57" s="37"/>
      <c r="G57" s="36"/>
    </row>
    <row r="58" spans="1:7" x14ac:dyDescent="0.2">
      <c r="F58" s="34" t="s">
        <v>5</v>
      </c>
      <c r="G58" s="35">
        <f>SUM(G51:G57)</f>
        <v>196.6</v>
      </c>
    </row>
    <row r="62" spans="1:7" x14ac:dyDescent="0.2">
      <c r="A62" s="34"/>
      <c r="B62" s="38"/>
    </row>
    <row r="64" spans="1:7" x14ac:dyDescent="0.2">
      <c r="A64" s="34"/>
      <c r="B64" s="38"/>
    </row>
    <row r="66" spans="1:3" x14ac:dyDescent="0.2">
      <c r="A66" s="34"/>
      <c r="B66" s="38"/>
    </row>
    <row r="68" spans="1:3" x14ac:dyDescent="0.2">
      <c r="A68" s="34"/>
      <c r="B68" s="38"/>
    </row>
    <row r="71" spans="1:3" x14ac:dyDescent="0.2">
      <c r="A71" s="34"/>
      <c r="B71" s="38"/>
      <c r="C71" s="39"/>
    </row>
    <row r="73" spans="1:3" x14ac:dyDescent="0.2">
      <c r="A73" s="34"/>
      <c r="B73" s="38"/>
    </row>
    <row r="75" spans="1:3" x14ac:dyDescent="0.2">
      <c r="A75" s="34"/>
      <c r="B75" s="38"/>
      <c r="C75" s="39"/>
    </row>
    <row r="77" spans="1:3" x14ac:dyDescent="0.2">
      <c r="A77" s="34"/>
      <c r="B77" s="38"/>
    </row>
    <row r="79" spans="1:3" x14ac:dyDescent="0.2">
      <c r="A79" s="34"/>
      <c r="B79" s="38"/>
    </row>
    <row r="82" spans="1:3" x14ac:dyDescent="0.2">
      <c r="A82" s="34"/>
      <c r="B82" s="38"/>
    </row>
    <row r="84" spans="1:3" x14ac:dyDescent="0.2">
      <c r="A84" s="34"/>
      <c r="B84" s="38"/>
    </row>
    <row r="86" spans="1:3" x14ac:dyDescent="0.2">
      <c r="A86" s="34"/>
      <c r="B86" s="38"/>
      <c r="C86" s="39"/>
    </row>
    <row r="89" spans="1:3" x14ac:dyDescent="0.2">
      <c r="A89" s="34"/>
      <c r="B89" s="40"/>
      <c r="C89" s="23"/>
    </row>
    <row r="92" spans="1:3" x14ac:dyDescent="0.2">
      <c r="A92" s="39"/>
      <c r="B92" s="41"/>
    </row>
  </sheetData>
  <mergeCells count="5">
    <mergeCell ref="B4:F4"/>
    <mergeCell ref="B5:F5"/>
    <mergeCell ref="A50:C50"/>
    <mergeCell ref="A51:C51"/>
    <mergeCell ref="A57:C57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N100"/>
  <sheetViews>
    <sheetView workbookViewId="0">
      <selection activeCell="B37" sqref="B37"/>
    </sheetView>
  </sheetViews>
  <sheetFormatPr defaultColWidth="8.85546875" defaultRowHeight="12.75" x14ac:dyDescent="0.2"/>
  <cols>
    <col min="1" max="1" width="18.5703125" style="24" customWidth="1"/>
    <col min="2" max="2" width="11" style="24" customWidth="1"/>
    <col min="3" max="3" width="12.85546875" style="24" customWidth="1"/>
    <col min="4" max="4" width="46.85546875" style="24" customWidth="1"/>
    <col min="5" max="5" width="10" style="24" customWidth="1"/>
    <col min="6" max="6" width="9.5703125" style="24" customWidth="1"/>
    <col min="7" max="7" width="9.85546875" style="45" customWidth="1"/>
    <col min="8" max="8" width="12.85546875" style="24" customWidth="1"/>
    <col min="9" max="10" width="8.85546875" style="24"/>
    <col min="11" max="11" width="13.28515625" style="24" bestFit="1" customWidth="1"/>
    <col min="12" max="12" width="15.85546875" style="24" customWidth="1"/>
    <col min="13" max="13" width="13.140625" style="24" bestFit="1" customWidth="1"/>
    <col min="14" max="14" width="15.85546875" style="24" customWidth="1"/>
    <col min="15" max="16384" width="8.85546875" style="24"/>
  </cols>
  <sheetData>
    <row r="1" spans="1:14" x14ac:dyDescent="0.2">
      <c r="A1" s="23" t="s">
        <v>0</v>
      </c>
      <c r="B1" s="39" t="s">
        <v>298</v>
      </c>
      <c r="C1" s="39"/>
      <c r="D1" s="39"/>
      <c r="E1" s="39"/>
      <c r="F1" s="39"/>
      <c r="K1" s="94" t="s">
        <v>35</v>
      </c>
      <c r="L1" s="94"/>
      <c r="M1" s="94"/>
      <c r="N1" s="94"/>
    </row>
    <row r="2" spans="1:14" x14ac:dyDescent="0.2">
      <c r="A2" s="23" t="s">
        <v>64</v>
      </c>
      <c r="B2" s="39" t="s">
        <v>327</v>
      </c>
      <c r="C2" s="39"/>
      <c r="D2" s="39"/>
      <c r="E2" s="39"/>
      <c r="F2" s="39"/>
      <c r="G2" s="39"/>
      <c r="K2" s="42" t="s">
        <v>17</v>
      </c>
      <c r="L2" s="43">
        <f>SiteSummaryMaterialTotal</f>
        <v>51868.28999493688</v>
      </c>
      <c r="M2" s="42" t="s">
        <v>36</v>
      </c>
      <c r="N2" s="43">
        <f>JobSummaryTotal</f>
        <v>102940.04479351922</v>
      </c>
    </row>
    <row r="3" spans="1:14" x14ac:dyDescent="0.2">
      <c r="A3" s="23" t="s">
        <v>1</v>
      </c>
      <c r="B3" s="39">
        <v>1234</v>
      </c>
      <c r="C3" s="39"/>
      <c r="D3" s="39"/>
      <c r="E3" s="39"/>
      <c r="F3" s="39"/>
      <c r="G3" s="39"/>
      <c r="K3" s="42" t="s">
        <v>18</v>
      </c>
      <c r="L3" s="43">
        <f>SiteSummaryLabourTotal</f>
        <v>28553.620076775551</v>
      </c>
      <c r="M3" s="42" t="s">
        <v>37</v>
      </c>
      <c r="N3" s="43">
        <f>SiteScheduleTotal</f>
        <v>102940.04479351919</v>
      </c>
    </row>
    <row r="4" spans="1:14" x14ac:dyDescent="0.2">
      <c r="K4" s="42" t="s">
        <v>20</v>
      </c>
      <c r="L4" s="43">
        <f>L2+L3</f>
        <v>80421.910071712424</v>
      </c>
      <c r="M4" s="42"/>
      <c r="N4" s="49"/>
    </row>
    <row r="5" spans="1:14" ht="13.5" thickBot="1" x14ac:dyDescent="0.25">
      <c r="K5" s="29"/>
      <c r="L5" s="57"/>
      <c r="M5" s="29"/>
    </row>
    <row r="6" spans="1:14" x14ac:dyDescent="0.2">
      <c r="A6" s="95" t="s">
        <v>66</v>
      </c>
      <c r="B6" s="96"/>
      <c r="C6" s="96"/>
      <c r="D6" s="96"/>
      <c r="E6" s="96"/>
      <c r="F6" s="96"/>
      <c r="G6" s="96"/>
      <c r="H6" s="97"/>
      <c r="K6" s="29"/>
      <c r="L6" s="57"/>
      <c r="M6" s="29"/>
    </row>
    <row r="7" spans="1:14" ht="24" customHeight="1" thickBot="1" x14ac:dyDescent="0.25">
      <c r="A7" s="98"/>
      <c r="B7" s="99"/>
      <c r="C7" s="99"/>
      <c r="D7" s="99"/>
      <c r="E7" s="99"/>
      <c r="F7" s="99"/>
      <c r="G7" s="99"/>
      <c r="H7" s="100"/>
      <c r="K7" s="29"/>
      <c r="L7" s="57"/>
      <c r="M7" s="29"/>
    </row>
    <row r="8" spans="1:14" x14ac:dyDescent="0.2">
      <c r="K8" s="29"/>
      <c r="L8" s="57"/>
      <c r="M8" s="29"/>
    </row>
    <row r="9" spans="1:14" x14ac:dyDescent="0.2">
      <c r="A9" s="93" t="s">
        <v>23</v>
      </c>
      <c r="B9" s="93"/>
      <c r="C9" s="93"/>
      <c r="D9" s="93"/>
      <c r="E9" s="93"/>
      <c r="F9" s="93"/>
      <c r="G9" s="93"/>
    </row>
    <row r="10" spans="1:14" x14ac:dyDescent="0.2">
      <c r="A10" s="93"/>
      <c r="B10" s="93"/>
      <c r="C10" s="93"/>
      <c r="D10" s="93"/>
      <c r="E10" s="93"/>
      <c r="F10" s="93"/>
      <c r="G10" s="93"/>
    </row>
    <row r="11" spans="1:14" x14ac:dyDescent="0.2">
      <c r="A11" s="23"/>
      <c r="B11" s="44"/>
      <c r="C11" s="44"/>
      <c r="D11" s="44"/>
      <c r="E11" s="44"/>
    </row>
    <row r="12" spans="1:14" x14ac:dyDescent="0.2">
      <c r="A12" s="46" t="s">
        <v>24</v>
      </c>
      <c r="B12" s="47" t="s">
        <v>25</v>
      </c>
      <c r="C12" s="47" t="s">
        <v>26</v>
      </c>
      <c r="D12" s="47" t="s">
        <v>27</v>
      </c>
      <c r="E12" s="47" t="s">
        <v>9</v>
      </c>
      <c r="F12" s="47" t="s">
        <v>3</v>
      </c>
      <c r="G12" s="47" t="s">
        <v>28</v>
      </c>
      <c r="H12" s="48" t="s">
        <v>16</v>
      </c>
    </row>
    <row r="13" spans="1:14" x14ac:dyDescent="0.2">
      <c r="A13" s="91" t="s">
        <v>68</v>
      </c>
      <c r="B13" s="91" t="s">
        <v>68</v>
      </c>
      <c r="C13" s="52"/>
      <c r="D13" s="53" t="s">
        <v>69</v>
      </c>
      <c r="E13" s="54">
        <v>20682</v>
      </c>
      <c r="F13" s="55">
        <v>1.2</v>
      </c>
      <c r="G13" s="56" t="s">
        <v>70</v>
      </c>
      <c r="H13" s="57">
        <f t="shared" ref="H13:H37" si="0">E13 * F13</f>
        <v>24818.399999999998</v>
      </c>
    </row>
    <row r="14" spans="1:14" x14ac:dyDescent="0.2">
      <c r="A14" s="91" t="s">
        <v>68</v>
      </c>
      <c r="B14" s="91" t="s">
        <v>68</v>
      </c>
      <c r="C14" s="52"/>
      <c r="D14" s="53" t="s">
        <v>71</v>
      </c>
      <c r="E14" s="54">
        <v>626</v>
      </c>
      <c r="F14" s="55">
        <v>3.64</v>
      </c>
      <c r="G14" s="56" t="s">
        <v>70</v>
      </c>
      <c r="H14" s="57">
        <f t="shared" si="0"/>
        <v>2278.64</v>
      </c>
    </row>
    <row r="15" spans="1:14" x14ac:dyDescent="0.2">
      <c r="A15" s="91" t="s">
        <v>68</v>
      </c>
      <c r="B15" s="91" t="s">
        <v>68</v>
      </c>
      <c r="C15" s="52"/>
      <c r="D15" s="53" t="s">
        <v>300</v>
      </c>
      <c r="E15" s="54">
        <v>70.999999761581407</v>
      </c>
      <c r="F15" s="55">
        <v>35</v>
      </c>
      <c r="G15" s="56" t="s">
        <v>72</v>
      </c>
      <c r="H15" s="57">
        <f t="shared" si="0"/>
        <v>2484.9999916553493</v>
      </c>
    </row>
    <row r="16" spans="1:14" x14ac:dyDescent="0.2">
      <c r="A16" s="91" t="s">
        <v>68</v>
      </c>
      <c r="B16" s="91" t="s">
        <v>68</v>
      </c>
      <c r="C16" s="52"/>
      <c r="D16" s="53" t="s">
        <v>73</v>
      </c>
      <c r="E16" s="54">
        <v>7204</v>
      </c>
      <c r="F16" s="55">
        <v>0.9</v>
      </c>
      <c r="G16" s="56" t="s">
        <v>74</v>
      </c>
      <c r="H16" s="57">
        <f t="shared" si="0"/>
        <v>6483.6</v>
      </c>
    </row>
    <row r="17" spans="1:8" x14ac:dyDescent="0.2">
      <c r="A17" s="91" t="s">
        <v>68</v>
      </c>
      <c r="B17" s="91" t="s">
        <v>68</v>
      </c>
      <c r="C17" s="52"/>
      <c r="D17" s="53" t="s">
        <v>76</v>
      </c>
      <c r="E17" s="54">
        <v>64</v>
      </c>
      <c r="F17" s="55">
        <v>28.09</v>
      </c>
      <c r="G17" s="56" t="s">
        <v>77</v>
      </c>
      <c r="H17" s="57">
        <f t="shared" si="0"/>
        <v>1797.76</v>
      </c>
    </row>
    <row r="18" spans="1:8" x14ac:dyDescent="0.2">
      <c r="A18" s="91" t="s">
        <v>68</v>
      </c>
      <c r="B18" s="91" t="s">
        <v>68</v>
      </c>
      <c r="C18" s="52"/>
      <c r="D18" s="53" t="s">
        <v>75</v>
      </c>
      <c r="E18" s="54">
        <v>60</v>
      </c>
      <c r="F18" s="55">
        <v>2.13</v>
      </c>
      <c r="G18" s="56" t="s">
        <v>70</v>
      </c>
      <c r="H18" s="57">
        <f>E18 * F18</f>
        <v>127.8</v>
      </c>
    </row>
    <row r="19" spans="1:8" x14ac:dyDescent="0.2">
      <c r="A19" s="91" t="s">
        <v>68</v>
      </c>
      <c r="B19" s="91" t="s">
        <v>68</v>
      </c>
      <c r="C19" s="52"/>
      <c r="D19" s="53" t="s">
        <v>78</v>
      </c>
      <c r="E19" s="54">
        <v>1440</v>
      </c>
      <c r="F19" s="55">
        <v>1.1000000000000001</v>
      </c>
      <c r="G19" s="56" t="s">
        <v>70</v>
      </c>
      <c r="H19" s="57">
        <f t="shared" si="0"/>
        <v>1584.0000000000002</v>
      </c>
    </row>
    <row r="20" spans="1:8" x14ac:dyDescent="0.2">
      <c r="A20" s="91" t="s">
        <v>68</v>
      </c>
      <c r="B20" s="91" t="s">
        <v>68</v>
      </c>
      <c r="C20" s="52"/>
      <c r="D20" s="53" t="s">
        <v>79</v>
      </c>
      <c r="E20" s="54">
        <v>1412</v>
      </c>
      <c r="F20" s="55">
        <v>1.1000000000000001</v>
      </c>
      <c r="G20" s="56" t="s">
        <v>70</v>
      </c>
      <c r="H20" s="57">
        <f t="shared" si="0"/>
        <v>1553.2</v>
      </c>
    </row>
    <row r="21" spans="1:8" x14ac:dyDescent="0.2">
      <c r="A21" s="91" t="s">
        <v>68</v>
      </c>
      <c r="B21" s="91" t="s">
        <v>68</v>
      </c>
      <c r="C21" s="52"/>
      <c r="D21" s="53" t="s">
        <v>80</v>
      </c>
      <c r="E21" s="54">
        <v>51</v>
      </c>
      <c r="F21" s="55">
        <v>1.6</v>
      </c>
      <c r="G21" s="56" t="s">
        <v>70</v>
      </c>
      <c r="H21" s="57">
        <f t="shared" si="0"/>
        <v>81.600000000000009</v>
      </c>
    </row>
    <row r="22" spans="1:8" x14ac:dyDescent="0.2">
      <c r="A22" s="91" t="s">
        <v>68</v>
      </c>
      <c r="B22" s="91" t="s">
        <v>68</v>
      </c>
      <c r="C22" s="52"/>
      <c r="D22" s="53" t="s">
        <v>81</v>
      </c>
      <c r="E22" s="54">
        <v>132</v>
      </c>
      <c r="F22" s="55">
        <v>1.51</v>
      </c>
      <c r="G22" s="56" t="s">
        <v>70</v>
      </c>
      <c r="H22" s="57">
        <f t="shared" si="0"/>
        <v>199.32</v>
      </c>
    </row>
    <row r="23" spans="1:8" x14ac:dyDescent="0.2">
      <c r="A23" s="91" t="s">
        <v>68</v>
      </c>
      <c r="B23" s="91" t="s">
        <v>68</v>
      </c>
      <c r="C23" s="52"/>
      <c r="D23" s="53" t="s">
        <v>84</v>
      </c>
      <c r="E23" s="54">
        <v>227</v>
      </c>
      <c r="F23" s="55">
        <v>1.7</v>
      </c>
      <c r="G23" s="56" t="s">
        <v>70</v>
      </c>
      <c r="H23" s="57">
        <f t="shared" si="0"/>
        <v>385.9</v>
      </c>
    </row>
    <row r="24" spans="1:8" x14ac:dyDescent="0.2">
      <c r="A24" s="91" t="s">
        <v>68</v>
      </c>
      <c r="B24" s="91" t="s">
        <v>68</v>
      </c>
      <c r="C24" s="52"/>
      <c r="D24" s="53" t="s">
        <v>85</v>
      </c>
      <c r="E24" s="54">
        <v>128</v>
      </c>
      <c r="F24" s="55">
        <v>1.9</v>
      </c>
      <c r="G24" s="56" t="s">
        <v>70</v>
      </c>
      <c r="H24" s="57">
        <f t="shared" si="0"/>
        <v>243.2</v>
      </c>
    </row>
    <row r="25" spans="1:8" x14ac:dyDescent="0.2">
      <c r="A25" s="91" t="s">
        <v>68</v>
      </c>
      <c r="B25" s="91" t="s">
        <v>68</v>
      </c>
      <c r="C25" s="52"/>
      <c r="D25" s="53" t="s">
        <v>86</v>
      </c>
      <c r="E25" s="54">
        <v>72</v>
      </c>
      <c r="F25" s="55">
        <v>9.5</v>
      </c>
      <c r="G25" s="56" t="s">
        <v>70</v>
      </c>
      <c r="H25" s="57">
        <f t="shared" si="0"/>
        <v>684</v>
      </c>
    </row>
    <row r="26" spans="1:8" x14ac:dyDescent="0.2">
      <c r="A26" s="91" t="s">
        <v>68</v>
      </c>
      <c r="B26" s="91" t="s">
        <v>68</v>
      </c>
      <c r="C26" s="52"/>
      <c r="D26" s="53" t="s">
        <v>87</v>
      </c>
      <c r="E26" s="54">
        <v>339</v>
      </c>
      <c r="F26" s="55">
        <v>1.5</v>
      </c>
      <c r="G26" s="56" t="s">
        <v>70</v>
      </c>
      <c r="H26" s="57">
        <f t="shared" si="0"/>
        <v>508.5</v>
      </c>
    </row>
    <row r="27" spans="1:8" x14ac:dyDescent="0.2">
      <c r="A27" s="91" t="s">
        <v>68</v>
      </c>
      <c r="B27" s="91" t="s">
        <v>68</v>
      </c>
      <c r="C27" s="52"/>
      <c r="D27" s="53" t="s">
        <v>88</v>
      </c>
      <c r="E27" s="54">
        <v>30</v>
      </c>
      <c r="F27" s="55">
        <v>32.5</v>
      </c>
      <c r="G27" s="56" t="s">
        <v>70</v>
      </c>
      <c r="H27" s="57">
        <f t="shared" si="0"/>
        <v>975</v>
      </c>
    </row>
    <row r="28" spans="1:8" x14ac:dyDescent="0.2">
      <c r="A28" s="91" t="s">
        <v>68</v>
      </c>
      <c r="B28" s="91" t="s">
        <v>68</v>
      </c>
      <c r="C28" s="52"/>
      <c r="D28" s="53" t="s">
        <v>89</v>
      </c>
      <c r="E28" s="54">
        <v>7276</v>
      </c>
      <c r="F28" s="55">
        <v>7.0000000000000007E-2</v>
      </c>
      <c r="G28" s="56" t="s">
        <v>70</v>
      </c>
      <c r="H28" s="57">
        <f t="shared" si="0"/>
        <v>509.32000000000005</v>
      </c>
    </row>
    <row r="29" spans="1:8" x14ac:dyDescent="0.2">
      <c r="A29" s="91" t="s">
        <v>68</v>
      </c>
      <c r="B29" s="91" t="s">
        <v>68</v>
      </c>
      <c r="C29" s="52"/>
      <c r="D29" s="53" t="s">
        <v>90</v>
      </c>
      <c r="E29" s="54">
        <v>1426</v>
      </c>
      <c r="F29" s="55">
        <v>0.28000000000000003</v>
      </c>
      <c r="G29" s="56" t="s">
        <v>70</v>
      </c>
      <c r="H29" s="57">
        <f t="shared" si="0"/>
        <v>399.28000000000003</v>
      </c>
    </row>
    <row r="30" spans="1:8" x14ac:dyDescent="0.2">
      <c r="A30" s="91" t="s">
        <v>68</v>
      </c>
      <c r="B30" s="91" t="s">
        <v>68</v>
      </c>
      <c r="C30" s="52"/>
      <c r="D30" s="53" t="s">
        <v>91</v>
      </c>
      <c r="E30" s="54">
        <v>1635</v>
      </c>
      <c r="F30" s="55">
        <v>0.1</v>
      </c>
      <c r="G30" s="56" t="s">
        <v>70</v>
      </c>
      <c r="H30" s="57">
        <f t="shared" si="0"/>
        <v>163.5</v>
      </c>
    </row>
    <row r="31" spans="1:8" x14ac:dyDescent="0.2">
      <c r="A31" s="91" t="s">
        <v>68</v>
      </c>
      <c r="B31" s="91" t="s">
        <v>68</v>
      </c>
      <c r="C31" s="52"/>
      <c r="D31" s="53" t="s">
        <v>92</v>
      </c>
      <c r="E31" s="54">
        <v>89.000000450760098</v>
      </c>
      <c r="F31" s="55">
        <v>7.28</v>
      </c>
      <c r="G31" s="56" t="s">
        <v>93</v>
      </c>
      <c r="H31" s="57">
        <f t="shared" si="0"/>
        <v>647.92000328153358</v>
      </c>
    </row>
    <row r="32" spans="1:8" x14ac:dyDescent="0.2">
      <c r="A32" s="91" t="s">
        <v>68</v>
      </c>
      <c r="B32" s="91" t="s">
        <v>68</v>
      </c>
      <c r="C32" s="52"/>
      <c r="D32" s="53" t="s">
        <v>94</v>
      </c>
      <c r="E32" s="54">
        <v>92</v>
      </c>
      <c r="F32" s="55">
        <v>4.5</v>
      </c>
      <c r="G32" s="56" t="s">
        <v>93</v>
      </c>
      <c r="H32" s="57">
        <f t="shared" si="0"/>
        <v>414</v>
      </c>
    </row>
    <row r="33" spans="1:8" x14ac:dyDescent="0.2">
      <c r="A33" s="91" t="s">
        <v>68</v>
      </c>
      <c r="B33" s="91" t="s">
        <v>68</v>
      </c>
      <c r="C33" s="52"/>
      <c r="D33" s="53" t="s">
        <v>95</v>
      </c>
      <c r="E33" s="54">
        <v>135</v>
      </c>
      <c r="F33" s="55">
        <v>15.21</v>
      </c>
      <c r="G33" s="56" t="s">
        <v>74</v>
      </c>
      <c r="H33" s="57">
        <f t="shared" si="0"/>
        <v>2053.35</v>
      </c>
    </row>
    <row r="34" spans="1:8" x14ac:dyDescent="0.2">
      <c r="A34" s="91" t="s">
        <v>68</v>
      </c>
      <c r="B34" s="91" t="s">
        <v>68</v>
      </c>
      <c r="C34" s="52"/>
      <c r="D34" s="53" t="s">
        <v>96</v>
      </c>
      <c r="E34" s="54">
        <v>6</v>
      </c>
      <c r="F34" s="55">
        <v>15</v>
      </c>
      <c r="G34" s="56" t="s">
        <v>70</v>
      </c>
      <c r="H34" s="57">
        <f t="shared" si="0"/>
        <v>90</v>
      </c>
    </row>
    <row r="35" spans="1:8" x14ac:dyDescent="0.2">
      <c r="A35" s="91" t="s">
        <v>68</v>
      </c>
      <c r="B35" s="91" t="s">
        <v>68</v>
      </c>
      <c r="C35" s="52"/>
      <c r="D35" s="53" t="s">
        <v>97</v>
      </c>
      <c r="E35" s="54">
        <v>9</v>
      </c>
      <c r="F35" s="55">
        <v>15</v>
      </c>
      <c r="G35" s="56" t="s">
        <v>70</v>
      </c>
      <c r="H35" s="57">
        <f t="shared" si="0"/>
        <v>135</v>
      </c>
    </row>
    <row r="36" spans="1:8" x14ac:dyDescent="0.2">
      <c r="A36" s="91" t="s">
        <v>68</v>
      </c>
      <c r="B36" s="91" t="s">
        <v>68</v>
      </c>
      <c r="C36" s="52"/>
      <c r="D36" s="53" t="s">
        <v>98</v>
      </c>
      <c r="E36" s="54">
        <v>6</v>
      </c>
      <c r="F36" s="55">
        <v>15</v>
      </c>
      <c r="G36" s="56" t="s">
        <v>70</v>
      </c>
      <c r="H36" s="57">
        <f t="shared" si="0"/>
        <v>90</v>
      </c>
    </row>
    <row r="37" spans="1:8" x14ac:dyDescent="0.2">
      <c r="A37" s="91" t="s">
        <v>68</v>
      </c>
      <c r="B37" s="91" t="s">
        <v>68</v>
      </c>
      <c r="C37" s="52"/>
      <c r="D37" s="53" t="s">
        <v>99</v>
      </c>
      <c r="E37" s="54">
        <v>2</v>
      </c>
      <c r="F37" s="55">
        <v>15</v>
      </c>
      <c r="G37" s="56" t="s">
        <v>70</v>
      </c>
      <c r="H37" s="57">
        <f t="shared" si="0"/>
        <v>30</v>
      </c>
    </row>
    <row r="38" spans="1:8" x14ac:dyDescent="0.2">
      <c r="A38" s="91" t="s">
        <v>68</v>
      </c>
      <c r="B38" s="91" t="s">
        <v>68</v>
      </c>
      <c r="C38" s="52"/>
      <c r="D38" s="53" t="s">
        <v>82</v>
      </c>
      <c r="E38" s="54">
        <v>499</v>
      </c>
      <c r="F38" s="55">
        <v>5</v>
      </c>
      <c r="G38" s="56" t="s">
        <v>70</v>
      </c>
      <c r="H38" s="57">
        <f>E38 * F38</f>
        <v>2495</v>
      </c>
    </row>
    <row r="39" spans="1:8" x14ac:dyDescent="0.2">
      <c r="A39" s="91" t="s">
        <v>68</v>
      </c>
      <c r="B39" s="91" t="s">
        <v>68</v>
      </c>
      <c r="C39" s="52"/>
      <c r="D39" s="53" t="s">
        <v>83</v>
      </c>
      <c r="E39" s="54">
        <v>127</v>
      </c>
      <c r="F39" s="55">
        <v>5</v>
      </c>
      <c r="G39" s="56" t="s">
        <v>70</v>
      </c>
      <c r="H39" s="57">
        <f>E39 * F39</f>
        <v>635</v>
      </c>
    </row>
    <row r="40" spans="1:8" x14ac:dyDescent="0.2">
      <c r="A40" s="50"/>
      <c r="B40" s="51"/>
      <c r="C40" s="52"/>
      <c r="D40" s="53"/>
      <c r="E40" s="54"/>
      <c r="F40" s="55"/>
      <c r="G40" s="56"/>
      <c r="H40" s="57"/>
    </row>
    <row r="41" spans="1:8" ht="13.5" thickBot="1" x14ac:dyDescent="0.25">
      <c r="B41" s="58"/>
      <c r="C41" s="29"/>
      <c r="D41" s="29"/>
      <c r="E41" s="29"/>
      <c r="F41" s="59"/>
      <c r="G41" s="29" t="s">
        <v>20</v>
      </c>
      <c r="H41" s="60">
        <f>SUM(H13:H40)</f>
        <v>51868.28999493688</v>
      </c>
    </row>
    <row r="42" spans="1:8" ht="13.5" thickTop="1" x14ac:dyDescent="0.2">
      <c r="A42" s="50"/>
      <c r="B42" s="50"/>
      <c r="C42" s="50"/>
      <c r="D42" s="50"/>
      <c r="E42" s="61"/>
      <c r="F42" s="62"/>
      <c r="G42" s="56"/>
      <c r="H42" s="57"/>
    </row>
    <row r="43" spans="1:8" x14ac:dyDescent="0.2">
      <c r="C43" s="63"/>
    </row>
    <row r="44" spans="1:8" x14ac:dyDescent="0.2">
      <c r="A44" s="93" t="s">
        <v>29</v>
      </c>
      <c r="B44" s="93"/>
      <c r="C44" s="93"/>
      <c r="D44" s="93"/>
      <c r="E44" s="93"/>
      <c r="F44" s="93"/>
      <c r="G44" s="93"/>
    </row>
    <row r="45" spans="1:8" x14ac:dyDescent="0.2">
      <c r="A45" s="93"/>
      <c r="B45" s="93"/>
      <c r="C45" s="93"/>
      <c r="D45" s="93"/>
      <c r="E45" s="93"/>
      <c r="F45" s="93"/>
      <c r="G45" s="93"/>
    </row>
    <row r="46" spans="1:8" x14ac:dyDescent="0.2">
      <c r="A46" s="23"/>
      <c r="B46" s="44"/>
      <c r="C46" s="44"/>
      <c r="D46" s="44"/>
      <c r="E46" s="44"/>
    </row>
    <row r="47" spans="1:8" x14ac:dyDescent="0.2">
      <c r="A47" s="64" t="s">
        <v>30</v>
      </c>
      <c r="B47" s="65"/>
      <c r="C47" s="65" t="s">
        <v>31</v>
      </c>
      <c r="D47" s="65"/>
      <c r="E47" s="47" t="s">
        <v>9</v>
      </c>
      <c r="F47" s="47" t="s">
        <v>4</v>
      </c>
      <c r="G47" s="47" t="s">
        <v>7</v>
      </c>
      <c r="H47" s="48" t="s">
        <v>16</v>
      </c>
    </row>
    <row r="48" spans="1:8" x14ac:dyDescent="0.2">
      <c r="A48" s="24" t="s">
        <v>100</v>
      </c>
      <c r="C48" s="24" t="s">
        <v>69</v>
      </c>
      <c r="E48" s="54">
        <v>1980.4300097227097</v>
      </c>
      <c r="F48" s="66" t="s">
        <v>101</v>
      </c>
      <c r="G48" s="55">
        <v>9</v>
      </c>
      <c r="H48" s="57">
        <f t="shared" ref="H48:H63" si="1">E48 * G48</f>
        <v>17823.870087504387</v>
      </c>
    </row>
    <row r="49" spans="1:8" x14ac:dyDescent="0.2">
      <c r="A49" s="24" t="s">
        <v>41</v>
      </c>
      <c r="C49" s="24" t="s">
        <v>69</v>
      </c>
      <c r="E49" s="54">
        <v>480.19999706745148</v>
      </c>
      <c r="F49" s="66" t="s">
        <v>102</v>
      </c>
      <c r="G49" s="55">
        <v>2.5</v>
      </c>
      <c r="H49" s="57">
        <f t="shared" si="1"/>
        <v>1200.4999926686287</v>
      </c>
    </row>
    <row r="50" spans="1:8" x14ac:dyDescent="0.2">
      <c r="A50" s="24" t="s">
        <v>103</v>
      </c>
      <c r="C50" s="24" t="s">
        <v>69</v>
      </c>
      <c r="E50" s="54">
        <v>463.24999845027924</v>
      </c>
      <c r="F50" s="66" t="s">
        <v>102</v>
      </c>
      <c r="G50" s="55">
        <v>2.5</v>
      </c>
      <c r="H50" s="57">
        <f t="shared" si="1"/>
        <v>1158.1249961256981</v>
      </c>
    </row>
    <row r="51" spans="1:8" x14ac:dyDescent="0.2">
      <c r="A51" s="24" t="s">
        <v>42</v>
      </c>
      <c r="C51" s="24" t="s">
        <v>69</v>
      </c>
      <c r="E51" s="54">
        <v>62.959999084472656</v>
      </c>
      <c r="F51" s="66" t="s">
        <v>102</v>
      </c>
      <c r="G51" s="55">
        <v>15</v>
      </c>
      <c r="H51" s="57">
        <f t="shared" si="1"/>
        <v>944.39998626708984</v>
      </c>
    </row>
    <row r="52" spans="1:8" x14ac:dyDescent="0.2">
      <c r="A52" s="24" t="s">
        <v>43</v>
      </c>
      <c r="C52" s="24" t="s">
        <v>69</v>
      </c>
      <c r="E52" s="54">
        <v>61.239999771118164</v>
      </c>
      <c r="F52" s="66" t="s">
        <v>102</v>
      </c>
      <c r="G52" s="55">
        <v>15</v>
      </c>
      <c r="H52" s="57">
        <f t="shared" si="1"/>
        <v>918.59999656677246</v>
      </c>
    </row>
    <row r="53" spans="1:8" x14ac:dyDescent="0.2">
      <c r="A53" s="24" t="s">
        <v>54</v>
      </c>
      <c r="C53" s="24" t="s">
        <v>69</v>
      </c>
      <c r="E53" s="54">
        <v>207.92000031471252</v>
      </c>
      <c r="F53" s="66" t="s">
        <v>102</v>
      </c>
      <c r="G53" s="55">
        <v>2.5</v>
      </c>
      <c r="H53" s="57">
        <f t="shared" si="1"/>
        <v>519.80000078678131</v>
      </c>
    </row>
    <row r="54" spans="1:8" x14ac:dyDescent="0.2">
      <c r="A54" s="24" t="s">
        <v>57</v>
      </c>
      <c r="C54" s="24" t="s">
        <v>69</v>
      </c>
      <c r="E54" s="54">
        <v>34.910000681877136</v>
      </c>
      <c r="F54" s="66" t="s">
        <v>102</v>
      </c>
      <c r="G54" s="55">
        <v>5</v>
      </c>
      <c r="H54" s="57">
        <f t="shared" si="1"/>
        <v>174.55000340938568</v>
      </c>
    </row>
    <row r="55" spans="1:8" x14ac:dyDescent="0.2">
      <c r="A55" s="24" t="s">
        <v>104</v>
      </c>
      <c r="C55" s="24" t="s">
        <v>69</v>
      </c>
      <c r="E55" s="54">
        <v>122.75</v>
      </c>
      <c r="F55" s="66" t="s">
        <v>102</v>
      </c>
      <c r="G55" s="55">
        <v>1.5</v>
      </c>
      <c r="H55" s="57">
        <f t="shared" si="1"/>
        <v>184.125</v>
      </c>
    </row>
    <row r="56" spans="1:8" x14ac:dyDescent="0.2">
      <c r="A56" s="24" t="s">
        <v>105</v>
      </c>
      <c r="C56" s="24" t="s">
        <v>69</v>
      </c>
      <c r="E56" s="54">
        <v>56.400000214576721</v>
      </c>
      <c r="F56" s="66" t="s">
        <v>102</v>
      </c>
      <c r="G56" s="55">
        <v>15</v>
      </c>
      <c r="H56" s="57">
        <f t="shared" si="1"/>
        <v>846.00000321865082</v>
      </c>
    </row>
    <row r="57" spans="1:8" x14ac:dyDescent="0.2">
      <c r="A57" s="24" t="s">
        <v>106</v>
      </c>
      <c r="C57" s="24" t="s">
        <v>69</v>
      </c>
      <c r="E57" s="54">
        <v>34.910000681877136</v>
      </c>
      <c r="F57" s="66" t="s">
        <v>102</v>
      </c>
      <c r="G57" s="55">
        <v>15</v>
      </c>
      <c r="H57" s="57">
        <f t="shared" si="1"/>
        <v>523.65001022815704</v>
      </c>
    </row>
    <row r="58" spans="1:8" x14ac:dyDescent="0.2">
      <c r="A58" s="24" t="s">
        <v>107</v>
      </c>
      <c r="C58" s="24" t="s">
        <v>69</v>
      </c>
      <c r="E58" s="54">
        <v>2</v>
      </c>
      <c r="F58" s="66"/>
      <c r="G58" s="55">
        <v>20</v>
      </c>
      <c r="H58" s="57">
        <f t="shared" si="1"/>
        <v>40</v>
      </c>
    </row>
    <row r="59" spans="1:8" x14ac:dyDescent="0.2">
      <c r="A59" s="24" t="s">
        <v>108</v>
      </c>
      <c r="C59" s="24" t="s">
        <v>69</v>
      </c>
      <c r="E59" s="54">
        <v>4</v>
      </c>
      <c r="F59" s="66"/>
      <c r="G59" s="55">
        <v>35</v>
      </c>
      <c r="H59" s="57">
        <f t="shared" si="1"/>
        <v>140</v>
      </c>
    </row>
    <row r="60" spans="1:8" x14ac:dyDescent="0.2">
      <c r="A60" s="24" t="s">
        <v>109</v>
      </c>
      <c r="C60" s="24" t="s">
        <v>69</v>
      </c>
      <c r="E60" s="54">
        <v>8</v>
      </c>
      <c r="F60" s="66"/>
      <c r="G60" s="55">
        <v>30</v>
      </c>
      <c r="H60" s="57">
        <f t="shared" si="1"/>
        <v>240</v>
      </c>
    </row>
    <row r="61" spans="1:8" x14ac:dyDescent="0.2">
      <c r="A61" s="24" t="s">
        <v>110</v>
      </c>
      <c r="C61" s="24" t="s">
        <v>69</v>
      </c>
      <c r="E61" s="54">
        <v>8</v>
      </c>
      <c r="F61" s="66"/>
      <c r="G61" s="55">
        <v>30</v>
      </c>
      <c r="H61" s="57">
        <f t="shared" si="1"/>
        <v>240</v>
      </c>
    </row>
    <row r="62" spans="1:8" x14ac:dyDescent="0.2">
      <c r="A62" s="24" t="s">
        <v>111</v>
      </c>
      <c r="C62" s="24" t="s">
        <v>69</v>
      </c>
      <c r="E62" s="54">
        <v>3</v>
      </c>
      <c r="F62" s="66"/>
      <c r="G62" s="55">
        <v>150</v>
      </c>
      <c r="H62" s="57">
        <f t="shared" si="1"/>
        <v>450</v>
      </c>
    </row>
    <row r="63" spans="1:8" x14ac:dyDescent="0.2">
      <c r="A63" s="24" t="s">
        <v>112</v>
      </c>
      <c r="C63" s="24" t="s">
        <v>69</v>
      </c>
      <c r="E63" s="54">
        <v>21</v>
      </c>
      <c r="F63" s="66"/>
      <c r="G63" s="55">
        <v>150</v>
      </c>
      <c r="H63" s="57">
        <f t="shared" si="1"/>
        <v>3150</v>
      </c>
    </row>
    <row r="64" spans="1:8" x14ac:dyDescent="0.2">
      <c r="E64" s="54"/>
      <c r="F64" s="66"/>
      <c r="G64" s="55"/>
      <c r="H64" s="57"/>
    </row>
    <row r="65" spans="1:11" ht="13.5" thickBot="1" x14ac:dyDescent="0.25">
      <c r="C65" s="29"/>
      <c r="D65" s="29"/>
      <c r="E65" s="29"/>
      <c r="F65" s="67"/>
      <c r="G65" s="29" t="s">
        <v>20</v>
      </c>
      <c r="H65" s="60">
        <f>SUM(H48:H64)</f>
        <v>28553.620076775551</v>
      </c>
    </row>
    <row r="66" spans="1:11" ht="13.5" thickTop="1" x14ac:dyDescent="0.2">
      <c r="B66" s="57"/>
      <c r="F66" s="66"/>
      <c r="G66" s="68"/>
    </row>
    <row r="67" spans="1:11" x14ac:dyDescent="0.2">
      <c r="B67" s="57"/>
      <c r="F67" s="66"/>
    </row>
    <row r="68" spans="1:11" x14ac:dyDescent="0.2">
      <c r="A68" s="69"/>
      <c r="B68" s="57"/>
      <c r="F68" s="66"/>
    </row>
    <row r="69" spans="1:11" x14ac:dyDescent="0.2">
      <c r="C69" s="63"/>
    </row>
    <row r="74" spans="1:11" x14ac:dyDescent="0.2">
      <c r="B74" s="57"/>
    </row>
    <row r="75" spans="1:11" x14ac:dyDescent="0.2">
      <c r="B75" s="57"/>
      <c r="K75" s="70"/>
    </row>
    <row r="76" spans="1:11" x14ac:dyDescent="0.2">
      <c r="B76" s="57"/>
      <c r="K76" s="71"/>
    </row>
    <row r="77" spans="1:11" x14ac:dyDescent="0.2">
      <c r="A77" s="69"/>
      <c r="B77" s="57"/>
    </row>
    <row r="78" spans="1:11" x14ac:dyDescent="0.2">
      <c r="C78" s="63"/>
    </row>
    <row r="80" spans="1:11" x14ac:dyDescent="0.2">
      <c r="K80" s="71"/>
    </row>
    <row r="83" spans="1:3" x14ac:dyDescent="0.2">
      <c r="B83" s="57"/>
    </row>
    <row r="84" spans="1:3" x14ac:dyDescent="0.2">
      <c r="B84" s="57"/>
    </row>
    <row r="85" spans="1:3" x14ac:dyDescent="0.2">
      <c r="B85" s="57"/>
    </row>
    <row r="86" spans="1:3" x14ac:dyDescent="0.2">
      <c r="A86" s="69"/>
      <c r="B86" s="57"/>
    </row>
    <row r="87" spans="1:3" x14ac:dyDescent="0.2">
      <c r="C87" s="63"/>
    </row>
    <row r="92" spans="1:3" x14ac:dyDescent="0.2">
      <c r="A92" s="62"/>
    </row>
    <row r="94" spans="1:3" x14ac:dyDescent="0.2">
      <c r="A94" s="62"/>
      <c r="B94" s="62"/>
      <c r="C94" s="62"/>
    </row>
    <row r="95" spans="1:3" x14ac:dyDescent="0.2">
      <c r="A95" s="62"/>
      <c r="B95" s="62"/>
      <c r="C95" s="62"/>
    </row>
    <row r="96" spans="1:3" x14ac:dyDescent="0.2">
      <c r="A96" s="62"/>
      <c r="B96" s="62"/>
      <c r="C96" s="62"/>
    </row>
    <row r="97" spans="1:3" x14ac:dyDescent="0.2">
      <c r="A97" s="62"/>
      <c r="B97" s="62"/>
      <c r="C97" s="62"/>
    </row>
    <row r="98" spans="1:3" x14ac:dyDescent="0.2">
      <c r="A98" s="62"/>
      <c r="B98" s="62"/>
      <c r="C98" s="62"/>
    </row>
    <row r="99" spans="1:3" x14ac:dyDescent="0.2">
      <c r="A99" s="62"/>
      <c r="B99" s="62"/>
      <c r="C99" s="62"/>
    </row>
    <row r="100" spans="1:3" x14ac:dyDescent="0.2">
      <c r="A100" s="62"/>
      <c r="B100" s="62"/>
      <c r="C100" s="62"/>
    </row>
  </sheetData>
  <mergeCells count="6">
    <mergeCell ref="A44:G44"/>
    <mergeCell ref="A45:G45"/>
    <mergeCell ref="K1:N1"/>
    <mergeCell ref="A9:G9"/>
    <mergeCell ref="A10:G10"/>
    <mergeCell ref="A6:H7"/>
  </mergeCells>
  <conditionalFormatting sqref="G13:G40">
    <cfRule type="cellIs" dxfId="2" priority="1" operator="equal">
      <formula>"Not Set"</formula>
    </cfRule>
  </conditionalFormatting>
  <pageMargins left="0.19685039370078741" right="0.19685039370078741" top="0.74803149606299213" bottom="0.74803149606299213" header="0.31496062992125984" footer="0.31496062992125984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6085A-77C5-4040-A7B6-93D6CDF6E3C9}">
  <dimension ref="A1:G103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192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139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92.36</v>
      </c>
      <c r="C9" s="23"/>
      <c r="D9" s="26"/>
    </row>
    <row r="10" spans="1:7" x14ac:dyDescent="0.2">
      <c r="A10" s="23" t="s">
        <v>114</v>
      </c>
      <c r="B10" s="24">
        <v>17.2</v>
      </c>
      <c r="C10" s="23"/>
      <c r="D10" s="26"/>
    </row>
    <row r="11" spans="1:7" x14ac:dyDescent="0.2">
      <c r="A11" s="23" t="s">
        <v>115</v>
      </c>
      <c r="B11" s="24">
        <v>10.74</v>
      </c>
      <c r="C11" s="23"/>
      <c r="D11" s="26"/>
    </row>
    <row r="12" spans="1:7" x14ac:dyDescent="0.2">
      <c r="A12" s="23" t="s">
        <v>116</v>
      </c>
      <c r="B12" s="24">
        <v>10.74</v>
      </c>
      <c r="C12" s="23"/>
      <c r="D12" s="26"/>
    </row>
    <row r="13" spans="1:7" x14ac:dyDescent="0.2">
      <c r="A13" s="23" t="s">
        <v>117</v>
      </c>
      <c r="B13" s="24">
        <v>8.6</v>
      </c>
      <c r="C13" s="23"/>
      <c r="D13" s="26"/>
    </row>
    <row r="14" spans="1:7" x14ac:dyDescent="0.2">
      <c r="A14" s="23" t="s">
        <v>118</v>
      </c>
      <c r="B14" s="24">
        <v>10.74</v>
      </c>
      <c r="C14" s="23"/>
      <c r="D14" s="26"/>
    </row>
    <row r="15" spans="1:7" x14ac:dyDescent="0.2">
      <c r="A15" s="23" t="s">
        <v>119</v>
      </c>
      <c r="B15" s="24">
        <v>600</v>
      </c>
      <c r="C15" s="23"/>
      <c r="D15" s="26"/>
    </row>
    <row r="16" spans="1:7" x14ac:dyDescent="0.2">
      <c r="A16" s="23" t="s">
        <v>120</v>
      </c>
      <c r="B16" s="24">
        <v>45</v>
      </c>
      <c r="C16" s="23"/>
      <c r="D16" s="26"/>
    </row>
    <row r="17" spans="1:7" x14ac:dyDescent="0.2">
      <c r="A17" s="23"/>
      <c r="C17" s="23"/>
      <c r="D17" s="26"/>
    </row>
    <row r="18" spans="1:7" x14ac:dyDescent="0.2">
      <c r="A18" s="23"/>
      <c r="B18" s="27"/>
      <c r="C18" s="23"/>
      <c r="D18" s="26"/>
    </row>
    <row r="19" spans="1:7" x14ac:dyDescent="0.2">
      <c r="A19" s="28" t="s">
        <v>10</v>
      </c>
      <c r="B19" s="28"/>
      <c r="C19" s="28"/>
      <c r="D19" s="28"/>
      <c r="E19" s="28"/>
      <c r="F19" s="28"/>
      <c r="G19" s="28"/>
    </row>
    <row r="20" spans="1:7" x14ac:dyDescent="0.2">
      <c r="A20" s="28"/>
      <c r="B20" s="28"/>
      <c r="C20" s="28"/>
      <c r="D20" s="28"/>
      <c r="E20" s="28"/>
      <c r="F20" s="28"/>
      <c r="G20" s="28"/>
    </row>
    <row r="21" spans="1:7" x14ac:dyDescent="0.2">
      <c r="A21" s="29" t="s">
        <v>121</v>
      </c>
      <c r="B21" s="24" t="s">
        <v>122</v>
      </c>
      <c r="C21" s="29"/>
      <c r="D21" s="29"/>
      <c r="E21" s="29"/>
      <c r="F21" s="29"/>
    </row>
    <row r="22" spans="1:7" x14ac:dyDescent="0.2">
      <c r="A22" s="29" t="s">
        <v>123</v>
      </c>
      <c r="B22" s="24" t="s">
        <v>124</v>
      </c>
      <c r="C22" s="29"/>
      <c r="D22" s="29"/>
      <c r="E22" s="29"/>
      <c r="F22" s="29"/>
    </row>
    <row r="23" spans="1:7" x14ac:dyDescent="0.2">
      <c r="A23" s="29"/>
      <c r="B23" s="24" t="s">
        <v>125</v>
      </c>
      <c r="C23" s="29"/>
      <c r="D23" s="29"/>
      <c r="E23" s="29"/>
      <c r="F23" s="29"/>
    </row>
    <row r="24" spans="1:7" x14ac:dyDescent="0.2">
      <c r="A24" s="29" t="s">
        <v>126</v>
      </c>
      <c r="B24" s="24" t="s">
        <v>127</v>
      </c>
      <c r="C24" s="29"/>
      <c r="D24" s="29"/>
      <c r="E24" s="29"/>
      <c r="F24" s="29"/>
    </row>
    <row r="25" spans="1:7" x14ac:dyDescent="0.2">
      <c r="A25" s="29"/>
      <c r="B25" s="24" t="s">
        <v>142</v>
      </c>
      <c r="C25" s="29"/>
      <c r="D25" s="29"/>
      <c r="E25" s="29"/>
      <c r="F25" s="29"/>
    </row>
    <row r="26" spans="1:7" x14ac:dyDescent="0.2">
      <c r="A26" s="29" t="s">
        <v>129</v>
      </c>
      <c r="B26" s="24" t="s">
        <v>130</v>
      </c>
      <c r="C26" s="29"/>
      <c r="D26" s="29"/>
      <c r="E26" s="29"/>
      <c r="F26" s="29"/>
    </row>
    <row r="27" spans="1:7" x14ac:dyDescent="0.2">
      <c r="A27" s="29"/>
      <c r="B27" s="24" t="s">
        <v>150</v>
      </c>
      <c r="C27" s="29"/>
      <c r="D27" s="29"/>
      <c r="E27" s="29"/>
      <c r="F27" s="29"/>
    </row>
    <row r="28" spans="1:7" x14ac:dyDescent="0.2">
      <c r="A28" s="29" t="s">
        <v>132</v>
      </c>
      <c r="B28" s="24" t="s">
        <v>133</v>
      </c>
      <c r="C28" s="29"/>
      <c r="D28" s="29"/>
      <c r="E28" s="29"/>
      <c r="F28" s="29"/>
    </row>
    <row r="29" spans="1:7" x14ac:dyDescent="0.2">
      <c r="A29" s="29" t="s">
        <v>134</v>
      </c>
      <c r="B29" s="24" t="s">
        <v>135</v>
      </c>
      <c r="C29" s="29"/>
      <c r="D29" s="29"/>
      <c r="E29" s="29"/>
      <c r="F29" s="29"/>
    </row>
    <row r="30" spans="1:7" x14ac:dyDescent="0.2">
      <c r="A30" s="29" t="s">
        <v>136</v>
      </c>
      <c r="B30" s="24" t="s">
        <v>137</v>
      </c>
      <c r="C30" s="29"/>
      <c r="D30" s="29"/>
      <c r="E30" s="29"/>
      <c r="F30" s="29"/>
    </row>
    <row r="31" spans="1:7" x14ac:dyDescent="0.2">
      <c r="A31" s="29"/>
      <c r="C31" s="29"/>
      <c r="D31" s="29"/>
      <c r="E31" s="29"/>
      <c r="F31" s="29"/>
    </row>
    <row r="32" spans="1:7" x14ac:dyDescent="0.2">
      <c r="A32" s="29"/>
      <c r="C32" s="29"/>
      <c r="D32" s="29"/>
      <c r="E32" s="29"/>
      <c r="F32" s="29"/>
    </row>
    <row r="33" spans="1:7" x14ac:dyDescent="0.2">
      <c r="A33" s="25" t="s">
        <v>14</v>
      </c>
      <c r="B33" s="25"/>
      <c r="C33" s="25"/>
      <c r="D33" s="25"/>
      <c r="E33" s="25"/>
      <c r="F33" s="25"/>
      <c r="G33" s="25"/>
    </row>
    <row r="35" spans="1:7" s="29" customFormat="1" x14ac:dyDescent="0.2">
      <c r="A35" s="29" t="s">
        <v>25</v>
      </c>
      <c r="B35" s="29" t="s">
        <v>38</v>
      </c>
      <c r="C35" s="29" t="s">
        <v>2</v>
      </c>
      <c r="D35" s="30" t="s">
        <v>9</v>
      </c>
      <c r="E35" s="30" t="s">
        <v>3</v>
      </c>
      <c r="F35" s="30" t="s">
        <v>4</v>
      </c>
      <c r="G35" s="30" t="s">
        <v>16</v>
      </c>
    </row>
    <row r="36" spans="1:7" x14ac:dyDescent="0.2">
      <c r="A36" s="24" t="str">
        <f>MatP8815C0Colour</f>
        <v>Not Specified</v>
      </c>
      <c r="B36" s="24" t="str">
        <f>IF(MatP8815C0Code=0,"",MatP8815C0Code)</f>
        <v/>
      </c>
      <c r="C36" s="24" t="str">
        <f>MatP8815C0Desc</f>
        <v>TLE Tile</v>
      </c>
      <c r="D36" s="31">
        <v>956</v>
      </c>
      <c r="E36" s="32">
        <f>MatP8815C0Price</f>
        <v>1.2</v>
      </c>
      <c r="F36" s="33" t="str">
        <f>MatP8815C0PerText</f>
        <v>Each</v>
      </c>
      <c r="G36" s="32">
        <f t="shared" ref="G36:G54" si="0">D36 * E36</f>
        <v>1147.2</v>
      </c>
    </row>
    <row r="37" spans="1:7" x14ac:dyDescent="0.2">
      <c r="A37" s="24" t="str">
        <f>MatP8870C0Colour</f>
        <v>Not Specified</v>
      </c>
      <c r="B37" s="24" t="str">
        <f>IF(MatP8870C0Code=0,"",MatP8870C0Code)</f>
        <v/>
      </c>
      <c r="C37" s="24" t="str">
        <f>MatP8870C0Desc</f>
        <v>Ridge Tile (450mm)</v>
      </c>
      <c r="D37" s="31">
        <v>20</v>
      </c>
      <c r="E37" s="32">
        <f>MatP8870C0Price</f>
        <v>3.64</v>
      </c>
      <c r="F37" s="33" t="str">
        <f>MatP8870C0PerText</f>
        <v>Each</v>
      </c>
      <c r="G37" s="32">
        <f t="shared" si="0"/>
        <v>72.8</v>
      </c>
    </row>
    <row r="38" spans="1:7" x14ac:dyDescent="0.2">
      <c r="A38" s="24" t="str">
        <f>MatP10135C0Colour</f>
        <v>Not Specified</v>
      </c>
      <c r="B38" s="24" t="str">
        <f>IF(MatP10135C0Code=0,"",MatP10135C0Code)</f>
        <v/>
      </c>
      <c r="C38" s="24" t="str">
        <f>MatP10135C0Desc</f>
        <v>VP300 Vapour Permeable Underlay (50m x 1m)</v>
      </c>
      <c r="D38" s="31">
        <v>3</v>
      </c>
      <c r="E38" s="32">
        <f>MatP10135C0Price</f>
        <v>35</v>
      </c>
      <c r="F38" s="33" t="str">
        <f>MatP10135C0PerText</f>
        <v>Roll</v>
      </c>
      <c r="G38" s="32">
        <f t="shared" si="0"/>
        <v>105</v>
      </c>
    </row>
    <row r="39" spans="1:7" x14ac:dyDescent="0.2">
      <c r="A39" s="24" t="str">
        <f>MatP9008C0Colour</f>
        <v>Not Specified</v>
      </c>
      <c r="B39" s="24" t="str">
        <f>IF(MatP9008C0Code=0,"",MatP9008C0Code)</f>
        <v/>
      </c>
      <c r="C39" s="24" t="str">
        <f>MatP9008C0Desc</f>
        <v>Battens (50mm x 25mm)</v>
      </c>
      <c r="D39" s="31">
        <v>314</v>
      </c>
      <c r="E39" s="32">
        <f>MatP9008C0Price</f>
        <v>0.9</v>
      </c>
      <c r="F39" s="33" t="str">
        <f>MatP9008C0PerText</f>
        <v>Metre</v>
      </c>
      <c r="G39" s="32">
        <f t="shared" si="0"/>
        <v>282.60000000000002</v>
      </c>
    </row>
    <row r="40" spans="1:7" x14ac:dyDescent="0.2">
      <c r="A40" s="24" t="str">
        <f>MatP8879C15Colour</f>
        <v>Not Specified</v>
      </c>
      <c r="B40" s="24" t="str">
        <f>IF(MatP8879C15Code=0,"",MatP8879C15Code)</f>
        <v/>
      </c>
      <c r="C40" s="24" t="str">
        <f>MatP8879C15Desc</f>
        <v>Universal Dry Ridge/Hip System (6m)</v>
      </c>
      <c r="D40" s="31">
        <v>2</v>
      </c>
      <c r="E40" s="32">
        <f>MatP8879C15Price</f>
        <v>28.09</v>
      </c>
      <c r="F40" s="33" t="str">
        <f>MatP8879C15PerText</f>
        <v>Pack</v>
      </c>
      <c r="G40" s="32">
        <f t="shared" si="0"/>
        <v>56.18</v>
      </c>
    </row>
    <row r="41" spans="1:7" x14ac:dyDescent="0.2">
      <c r="A41" s="24" t="str">
        <f>MatP8857C0Colour</f>
        <v>Not Specified</v>
      </c>
      <c r="B41" s="24" t="str">
        <f>IF(MatP8857C0Code=0,"",MatP8857C0Code)</f>
        <v/>
      </c>
      <c r="C41" s="24" t="str">
        <f>MatP8857C0Desc</f>
        <v>LH Uni-Fix Dry Verge Unit</v>
      </c>
      <c r="D41" s="31">
        <v>64</v>
      </c>
      <c r="E41" s="32">
        <f>MatP8857C0Price</f>
        <v>1.1000000000000001</v>
      </c>
      <c r="F41" s="33" t="str">
        <f>MatP8857C0PerText</f>
        <v>Each</v>
      </c>
      <c r="G41" s="32">
        <f t="shared" si="0"/>
        <v>70.400000000000006</v>
      </c>
    </row>
    <row r="42" spans="1:7" x14ac:dyDescent="0.2">
      <c r="A42" s="24" t="str">
        <f>MatP8869C0Colour</f>
        <v>Not Specified</v>
      </c>
      <c r="B42" s="24" t="str">
        <f>IF(MatP8869C0Code=0,"",MatP8869C0Code)</f>
        <v/>
      </c>
      <c r="C42" s="24" t="str">
        <f>MatP8869C0Desc</f>
        <v>RH Uni-Fix Dry Verge Unit</v>
      </c>
      <c r="D42" s="31">
        <v>64</v>
      </c>
      <c r="E42" s="32">
        <f>MatP8869C0Price</f>
        <v>1.1000000000000001</v>
      </c>
      <c r="F42" s="33" t="str">
        <f>MatP8869C0PerText</f>
        <v>Each</v>
      </c>
      <c r="G42" s="32">
        <f t="shared" si="0"/>
        <v>70.400000000000006</v>
      </c>
    </row>
    <row r="43" spans="1:7" x14ac:dyDescent="0.2">
      <c r="A43" s="24" t="str">
        <f>MatP8877C0Colour</f>
        <v>Not Specified</v>
      </c>
      <c r="B43" s="24" t="str">
        <f>IF(MatP8877C0Code=0,"",MatP8877C0Code)</f>
        <v/>
      </c>
      <c r="C43" s="24" t="str">
        <f>MatP8877C0Desc</f>
        <v>Uni-Fix Universal Ridge End Cap</v>
      </c>
      <c r="D43" s="31">
        <v>2</v>
      </c>
      <c r="E43" s="32">
        <f>MatP8877C0Price</f>
        <v>1.6</v>
      </c>
      <c r="F43" s="33" t="str">
        <f>MatP8877C0PerText</f>
        <v>Each</v>
      </c>
      <c r="G43" s="32">
        <f t="shared" si="0"/>
        <v>3.2</v>
      </c>
    </row>
    <row r="44" spans="1:7" x14ac:dyDescent="0.2">
      <c r="A44" s="24" t="str">
        <f>MatP8830C20Colour</f>
        <v>Not Specified</v>
      </c>
      <c r="B44" s="24" t="str">
        <f>IF(MatP8830C20Code=0,"",MatP8830C20Code)</f>
        <v/>
      </c>
      <c r="C44" s="24" t="str">
        <f>MatP8830C20Desc</f>
        <v>Dry Verge Starter Unit</v>
      </c>
      <c r="D44" s="31">
        <v>4</v>
      </c>
      <c r="E44" s="32">
        <f>MatP8830C20Price</f>
        <v>1.51</v>
      </c>
      <c r="F44" s="33" t="str">
        <f>MatP8830C20PerText</f>
        <v>Each</v>
      </c>
      <c r="G44" s="32">
        <f t="shared" si="0"/>
        <v>6.04</v>
      </c>
    </row>
    <row r="45" spans="1:7" x14ac:dyDescent="0.2">
      <c r="A45" s="24" t="str">
        <f>MatP8281C0Colour</f>
        <v>Not Specified</v>
      </c>
      <c r="B45" s="24" t="str">
        <f>IF(MatP8281C0Code=0,"",MatP8281C0Code)</f>
        <v/>
      </c>
      <c r="C45" s="24" t="str">
        <f>MatP8281C0Desc</f>
        <v>Generic Eave Insulation (1m)</v>
      </c>
      <c r="D45" s="31">
        <v>18</v>
      </c>
      <c r="E45" s="32">
        <f>MatP8281C0Price</f>
        <v>5</v>
      </c>
      <c r="F45" s="33" t="str">
        <f>MatP8281C0PerText</f>
        <v>Each</v>
      </c>
      <c r="G45" s="32">
        <f t="shared" si="0"/>
        <v>90</v>
      </c>
    </row>
    <row r="46" spans="1:7" x14ac:dyDescent="0.2">
      <c r="A46" s="24" t="str">
        <f>MatP8821C20Colour</f>
        <v>Not Specified</v>
      </c>
      <c r="B46" s="24" t="str">
        <f>IF(MatP8821C20Code=0,"",MatP8821C20Code)</f>
        <v/>
      </c>
      <c r="C46" s="24" t="str">
        <f>MatP8821C20Desc</f>
        <v>25mm Over Fascia Vent (1m)</v>
      </c>
      <c r="D46" s="31">
        <v>18</v>
      </c>
      <c r="E46" s="32">
        <f>MatP8821C20Price</f>
        <v>1.9</v>
      </c>
      <c r="F46" s="33" t="str">
        <f>MatP8821C20PerText</f>
        <v>Each</v>
      </c>
      <c r="G46" s="32">
        <f t="shared" si="0"/>
        <v>34.199999999999996</v>
      </c>
    </row>
    <row r="47" spans="1:7" x14ac:dyDescent="0.2">
      <c r="A47" s="24" t="str">
        <f>MatP8624C0Colour</f>
        <v>Not Specified</v>
      </c>
      <c r="B47" s="24" t="str">
        <f>IF(MatP8624C0Code=0,"",MatP8624C0Code)</f>
        <v/>
      </c>
      <c r="C47" s="24" t="str">
        <f>MatP8624C0Desc</f>
        <v>Generic Party Wall Insulation (1m)</v>
      </c>
      <c r="D47" s="31">
        <v>11</v>
      </c>
      <c r="E47" s="32">
        <f>MatP8624C0Price</f>
        <v>5</v>
      </c>
      <c r="F47" s="33" t="str">
        <f>MatP8624C0PerText</f>
        <v>Each</v>
      </c>
      <c r="G47" s="32">
        <f t="shared" si="0"/>
        <v>55</v>
      </c>
    </row>
    <row r="48" spans="1:7" x14ac:dyDescent="0.2">
      <c r="A48" s="24" t="str">
        <f>MatP8866C20Colour</f>
        <v>Not Specified</v>
      </c>
      <c r="B48" s="24" t="str">
        <f>IF(MatP8866C20Code=0,"",MatP8866C20Code)</f>
        <v/>
      </c>
      <c r="C48" s="24" t="str">
        <f>MatP8866C20Desc</f>
        <v>Rafter Roll (6m x 600mm)</v>
      </c>
      <c r="D48" s="31">
        <v>3</v>
      </c>
      <c r="E48" s="32">
        <f>MatP8866C20Price</f>
        <v>9.5</v>
      </c>
      <c r="F48" s="33" t="str">
        <f>MatP8866C20PerText</f>
        <v>Each</v>
      </c>
      <c r="G48" s="32">
        <f t="shared" si="0"/>
        <v>28.5</v>
      </c>
    </row>
    <row r="49" spans="1:7" x14ac:dyDescent="0.2">
      <c r="A49" s="24" t="str">
        <f>MatP8874C20Colour</f>
        <v>Not Specified</v>
      </c>
      <c r="B49" s="24" t="str">
        <f>IF(MatP8874C20Code=0,"",MatP8874C20Code)</f>
        <v/>
      </c>
      <c r="C49" s="24" t="str">
        <f>MatP8874C20Desc</f>
        <v>Underlay Support Tray (1.5m)</v>
      </c>
      <c r="D49" s="31">
        <v>12</v>
      </c>
      <c r="E49" s="32">
        <f>MatP8874C20Price</f>
        <v>1.5</v>
      </c>
      <c r="F49" s="33" t="str">
        <f>MatP8874C20PerText</f>
        <v>Each</v>
      </c>
      <c r="G49" s="32">
        <f t="shared" si="0"/>
        <v>18</v>
      </c>
    </row>
    <row r="50" spans="1:7" x14ac:dyDescent="0.2">
      <c r="A50" s="24" t="str">
        <f>MatP8872C539Colour</f>
        <v>Not Specified</v>
      </c>
      <c r="B50" s="24" t="str">
        <f>IF(MatP8872C539Code=0,"",MatP8872C539Code)</f>
        <v/>
      </c>
      <c r="C50" s="24" t="str">
        <f>MatP8872C539Desc</f>
        <v>Sidelock Tile Clips (TLE)</v>
      </c>
      <c r="D50" s="31">
        <v>374</v>
      </c>
      <c r="E50" s="32">
        <f>MatP8872C539Price</f>
        <v>7.0000000000000007E-2</v>
      </c>
      <c r="F50" s="33" t="str">
        <f>MatP8872C539PerText</f>
        <v>Each</v>
      </c>
      <c r="G50" s="32">
        <f t="shared" si="0"/>
        <v>26.180000000000003</v>
      </c>
    </row>
    <row r="51" spans="1:7" x14ac:dyDescent="0.2">
      <c r="A51" s="24" t="str">
        <f>MatP8826C539Colour</f>
        <v>Not Specified</v>
      </c>
      <c r="B51" s="24" t="str">
        <f>IF(MatP8826C539Code=0,"",MatP8826C539Code)</f>
        <v/>
      </c>
      <c r="C51" s="24" t="str">
        <f>MatP8826C539Desc</f>
        <v>Metal Batten End Clips</v>
      </c>
      <c r="D51" s="31">
        <v>64</v>
      </c>
      <c r="E51" s="32">
        <f>MatP8826C539Price</f>
        <v>0.28000000000000003</v>
      </c>
      <c r="F51" s="33" t="str">
        <f>MatP8826C539PerText</f>
        <v>Each</v>
      </c>
      <c r="G51" s="32">
        <f t="shared" si="0"/>
        <v>17.920000000000002</v>
      </c>
    </row>
    <row r="52" spans="1:7" x14ac:dyDescent="0.2">
      <c r="A52" s="24" t="str">
        <f>MatP8831C539Colour</f>
        <v>Not Specified</v>
      </c>
      <c r="B52" s="24" t="str">
        <f>IF(MatP8831C539Code=0,"",MatP8831C539Code)</f>
        <v/>
      </c>
      <c r="C52" s="24" t="str">
        <f>MatP8831C539Desc</f>
        <v>Eave Clip</v>
      </c>
      <c r="D52" s="31">
        <v>58</v>
      </c>
      <c r="E52" s="32">
        <f>MatP8831C539Price</f>
        <v>0.1</v>
      </c>
      <c r="F52" s="33" t="str">
        <f>MatP8831C539PerText</f>
        <v>Each</v>
      </c>
      <c r="G52" s="32">
        <f t="shared" si="0"/>
        <v>5.8000000000000007</v>
      </c>
    </row>
    <row r="53" spans="1:7" x14ac:dyDescent="0.2">
      <c r="A53" s="24" t="str">
        <f>MatP9318C0Colour</f>
        <v>Not Specified</v>
      </c>
      <c r="B53" s="24" t="str">
        <f>IF(MatP9318C0Code=0,"",MatP9318C0Code)</f>
        <v/>
      </c>
      <c r="C53" s="24" t="str">
        <f>MatP9318C0Desc</f>
        <v>45mm x 3.35mm Aluminium Nails</v>
      </c>
      <c r="D53" s="31">
        <v>3.0000000596046448</v>
      </c>
      <c r="E53" s="32">
        <f>MatP9318C0Price</f>
        <v>7.28</v>
      </c>
      <c r="F53" s="33" t="str">
        <f>MatP9318C0PerText</f>
        <v>Kg</v>
      </c>
      <c r="G53" s="32">
        <f t="shared" si="0"/>
        <v>21.840000433921816</v>
      </c>
    </row>
    <row r="54" spans="1:7" x14ac:dyDescent="0.2">
      <c r="A54" s="24" t="str">
        <f>MatP9100C0Colour</f>
        <v>Not Specified</v>
      </c>
      <c r="B54" s="24" t="str">
        <f>IF(MatP9100C0Code=0,"",MatP9100C0Code)</f>
        <v/>
      </c>
      <c r="C54" s="24" t="str">
        <f>MatP9100C0Desc</f>
        <v>Batten Nails - 65mm x 3.35mm Galvanised</v>
      </c>
      <c r="D54" s="31">
        <v>3</v>
      </c>
      <c r="E54" s="32">
        <f>MatP9100C0Price</f>
        <v>4.5</v>
      </c>
      <c r="F54" s="33" t="str">
        <f>MatP9100C0PerText</f>
        <v>Kg</v>
      </c>
      <c r="G54" s="32">
        <f t="shared" si="0"/>
        <v>13.5</v>
      </c>
    </row>
    <row r="55" spans="1:7" x14ac:dyDescent="0.2">
      <c r="D55" s="31"/>
      <c r="E55" s="32"/>
      <c r="F55" s="33"/>
      <c r="G55" s="32"/>
    </row>
    <row r="56" spans="1:7" x14ac:dyDescent="0.2">
      <c r="F56" s="34" t="s">
        <v>5</v>
      </c>
      <c r="G56" s="35">
        <f>SUM(G36:G55)</f>
        <v>2124.7600004339224</v>
      </c>
    </row>
    <row r="57" spans="1:7" x14ac:dyDescent="0.2">
      <c r="G57" s="34"/>
    </row>
    <row r="58" spans="1:7" x14ac:dyDescent="0.2">
      <c r="A58" s="25" t="s">
        <v>15</v>
      </c>
      <c r="B58" s="25"/>
      <c r="D58" s="25"/>
      <c r="E58" s="25"/>
      <c r="F58" s="25"/>
      <c r="G58" s="25"/>
    </row>
    <row r="60" spans="1:7" x14ac:dyDescent="0.2">
      <c r="A60" s="102" t="s">
        <v>6</v>
      </c>
      <c r="B60" s="102"/>
      <c r="C60" s="102"/>
      <c r="D60" s="34" t="s">
        <v>7</v>
      </c>
      <c r="E60" s="34" t="s">
        <v>9</v>
      </c>
      <c r="F60" s="34" t="s">
        <v>8</v>
      </c>
      <c r="G60" s="34" t="s">
        <v>16</v>
      </c>
    </row>
    <row r="61" spans="1:7" x14ac:dyDescent="0.2">
      <c r="A61" s="103" t="str">
        <f>LabP8815R6L1G1Desc</f>
        <v>Main Area</v>
      </c>
      <c r="B61" s="103"/>
      <c r="C61" s="103"/>
      <c r="D61" s="36">
        <f>LabP8815R6L1G1Rate</f>
        <v>9</v>
      </c>
      <c r="E61" s="37">
        <f>'MSL-SMI-Main Roof'!Area</f>
        <v>92.36</v>
      </c>
      <c r="F61" s="27" t="str">
        <f xml:space="preserve"> "" &amp; LabP8815R6L1G1Per</f>
        <v>m²</v>
      </c>
      <c r="G61" s="36">
        <f t="shared" ref="G61:G66" si="1">D61 * E61</f>
        <v>831.24</v>
      </c>
    </row>
    <row r="62" spans="1:7" x14ac:dyDescent="0.2">
      <c r="A62" s="24" t="str">
        <f>LabP8815R0L1G2Desc</f>
        <v>Eave</v>
      </c>
      <c r="D62" s="36">
        <f>LabP8815R0L1G2Rate</f>
        <v>2.5</v>
      </c>
      <c r="E62" s="37">
        <f>'MSL-SMI-Main Roof'!Eave</f>
        <v>17.2</v>
      </c>
      <c r="F62" s="27" t="str">
        <f xml:space="preserve"> "" &amp; LabP8815R0L1G2Per</f>
        <v>m</v>
      </c>
      <c r="G62" s="36">
        <f t="shared" si="1"/>
        <v>43</v>
      </c>
    </row>
    <row r="63" spans="1:7" x14ac:dyDescent="0.2">
      <c r="A63" s="24" t="str">
        <f>LabP8815R0L1G3Desc</f>
        <v>Verge</v>
      </c>
      <c r="D63" s="36">
        <f>LabP8815R0L1G3Rate</f>
        <v>2.5</v>
      </c>
      <c r="E63" s="37">
        <f>LeftVerge+RightVerge</f>
        <v>21.48</v>
      </c>
      <c r="F63" s="27" t="str">
        <f xml:space="preserve"> "" &amp; LabP8815R0L1G3Per</f>
        <v>m</v>
      </c>
      <c r="G63" s="36">
        <f t="shared" si="1"/>
        <v>53.7</v>
      </c>
    </row>
    <row r="64" spans="1:7" x14ac:dyDescent="0.2">
      <c r="A64" s="24" t="str">
        <f>LabP8815R0L1G8Desc</f>
        <v>Duo Ridge</v>
      </c>
      <c r="D64" s="36">
        <f>LabP8815R0L1G8Rate</f>
        <v>2.5</v>
      </c>
      <c r="E64" s="37">
        <f>'MSL-SMI-Main Roof'!DuoRidge</f>
        <v>8.6</v>
      </c>
      <c r="F64" s="27" t="str">
        <f xml:space="preserve"> "" &amp; LabP8815R0L1G8Per</f>
        <v>m</v>
      </c>
      <c r="G64" s="36">
        <f t="shared" si="1"/>
        <v>21.5</v>
      </c>
    </row>
    <row r="65" spans="1:7" x14ac:dyDescent="0.2">
      <c r="A65" s="24" t="str">
        <f>LabP8815R0L1G241Desc</f>
        <v>Party Wall Insulation</v>
      </c>
      <c r="D65" s="36">
        <f>LabP8815R0L1G241Rate</f>
        <v>1.5</v>
      </c>
      <c r="E65" s="37">
        <v>10.74</v>
      </c>
      <c r="F65" s="27" t="str">
        <f xml:space="preserve"> "" &amp; LabP8815R0L1G241Per</f>
        <v>m</v>
      </c>
      <c r="G65" s="36">
        <f t="shared" si="1"/>
        <v>16.11</v>
      </c>
    </row>
    <row r="66" spans="1:7" x14ac:dyDescent="0.2">
      <c r="A66" s="24" t="str">
        <f>LabP8815R30LabLabourforCuttingtoVeluxDesc</f>
        <v>Labour for Cutting to Velux</v>
      </c>
      <c r="D66" s="36">
        <f>LabP8815R30LabLabourforCuttingtoVeluxRate</f>
        <v>30</v>
      </c>
      <c r="E66" s="37">
        <v>2</v>
      </c>
      <c r="F66" s="27" t="str">
        <f xml:space="preserve"> "" &amp; LabP8815R30LabLabourforCuttingtoVeluxPer</f>
        <v/>
      </c>
      <c r="G66" s="36">
        <f t="shared" si="1"/>
        <v>60</v>
      </c>
    </row>
    <row r="67" spans="1:7" x14ac:dyDescent="0.2">
      <c r="D67" s="36"/>
      <c r="E67" s="37"/>
      <c r="F67" s="27"/>
      <c r="G67" s="36"/>
    </row>
    <row r="68" spans="1:7" x14ac:dyDescent="0.2">
      <c r="A68" s="103"/>
      <c r="B68" s="103"/>
      <c r="C68" s="103"/>
      <c r="D68" s="36"/>
      <c r="E68" s="37"/>
      <c r="G68" s="36"/>
    </row>
    <row r="69" spans="1:7" x14ac:dyDescent="0.2">
      <c r="F69" s="34" t="s">
        <v>5</v>
      </c>
      <c r="G69" s="35">
        <f>SUM(G61:G68)</f>
        <v>1025.5500000000002</v>
      </c>
    </row>
    <row r="73" spans="1:7" x14ac:dyDescent="0.2">
      <c r="A73" s="34"/>
      <c r="B73" s="38"/>
    </row>
    <row r="75" spans="1:7" x14ac:dyDescent="0.2">
      <c r="A75" s="34"/>
      <c r="B75" s="38"/>
    </row>
    <row r="77" spans="1:7" x14ac:dyDescent="0.2">
      <c r="A77" s="34"/>
      <c r="B77" s="38"/>
    </row>
    <row r="79" spans="1:7" x14ac:dyDescent="0.2">
      <c r="A79" s="34"/>
      <c r="B79" s="38"/>
    </row>
    <row r="82" spans="1:3" x14ac:dyDescent="0.2">
      <c r="A82" s="34"/>
      <c r="B82" s="38"/>
      <c r="C82" s="39"/>
    </row>
    <row r="84" spans="1:3" x14ac:dyDescent="0.2">
      <c r="A84" s="34"/>
      <c r="B84" s="38"/>
    </row>
    <row r="86" spans="1:3" x14ac:dyDescent="0.2">
      <c r="A86" s="34"/>
      <c r="B86" s="38"/>
      <c r="C86" s="39"/>
    </row>
    <row r="88" spans="1:3" x14ac:dyDescent="0.2">
      <c r="A88" s="34"/>
      <c r="B88" s="38"/>
    </row>
    <row r="90" spans="1:3" x14ac:dyDescent="0.2">
      <c r="A90" s="34"/>
      <c r="B90" s="38"/>
    </row>
    <row r="93" spans="1:3" x14ac:dyDescent="0.2">
      <c r="A93" s="34"/>
      <c r="B93" s="38"/>
    </row>
    <row r="95" spans="1:3" x14ac:dyDescent="0.2">
      <c r="A95" s="34"/>
      <c r="B95" s="38"/>
    </row>
    <row r="97" spans="1:3" x14ac:dyDescent="0.2">
      <c r="A97" s="34"/>
      <c r="B97" s="38"/>
      <c r="C97" s="39"/>
    </row>
    <row r="100" spans="1:3" x14ac:dyDescent="0.2">
      <c r="A100" s="34"/>
      <c r="B100" s="40"/>
      <c r="C100" s="23"/>
    </row>
    <row r="103" spans="1:3" x14ac:dyDescent="0.2">
      <c r="A103" s="39"/>
      <c r="B103" s="41"/>
    </row>
  </sheetData>
  <mergeCells count="5">
    <mergeCell ref="B4:F4"/>
    <mergeCell ref="B5:F5"/>
    <mergeCell ref="A60:C60"/>
    <mergeCell ref="A61:C61"/>
    <mergeCell ref="A68:C68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988AC-6953-4358-9F14-B32585FC11AE}">
  <dimension ref="A1:G92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192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145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1.65</v>
      </c>
      <c r="C9" s="23"/>
      <c r="D9" s="26"/>
    </row>
    <row r="10" spans="1:7" x14ac:dyDescent="0.2">
      <c r="A10" s="23" t="s">
        <v>114</v>
      </c>
      <c r="B10" s="24">
        <v>1.5</v>
      </c>
      <c r="C10" s="23"/>
      <c r="D10" s="26"/>
    </row>
    <row r="11" spans="1:7" x14ac:dyDescent="0.2">
      <c r="A11" s="23" t="s">
        <v>141</v>
      </c>
      <c r="B11" s="24">
        <v>1.5</v>
      </c>
      <c r="C11" s="23"/>
      <c r="D11" s="26"/>
    </row>
    <row r="12" spans="1:7" x14ac:dyDescent="0.2">
      <c r="A12" s="23" t="s">
        <v>115</v>
      </c>
      <c r="B12" s="24">
        <v>1.1000000000000001</v>
      </c>
      <c r="C12" s="23"/>
      <c r="D12" s="26"/>
    </row>
    <row r="13" spans="1:7" x14ac:dyDescent="0.2">
      <c r="A13" s="23" t="s">
        <v>116</v>
      </c>
      <c r="B13" s="24">
        <v>1.1000000000000001</v>
      </c>
      <c r="C13" s="23"/>
      <c r="D13" s="26"/>
    </row>
    <row r="14" spans="1:7" x14ac:dyDescent="0.2">
      <c r="A14" s="23" t="s">
        <v>119</v>
      </c>
      <c r="B14" s="24">
        <v>600</v>
      </c>
      <c r="C14" s="23"/>
      <c r="D14" s="26"/>
    </row>
    <row r="15" spans="1:7" x14ac:dyDescent="0.2">
      <c r="A15" s="23" t="s">
        <v>120</v>
      </c>
      <c r="B15" s="24">
        <v>35</v>
      </c>
      <c r="C15" s="23"/>
      <c r="D15" s="26"/>
    </row>
    <row r="16" spans="1:7" x14ac:dyDescent="0.2">
      <c r="A16" s="23"/>
      <c r="C16" s="23"/>
      <c r="D16" s="26"/>
    </row>
    <row r="17" spans="1:7" x14ac:dyDescent="0.2">
      <c r="A17" s="23"/>
      <c r="B17" s="27"/>
      <c r="C17" s="23"/>
      <c r="D17" s="26"/>
    </row>
    <row r="18" spans="1:7" x14ac:dyDescent="0.2">
      <c r="A18" s="28" t="s">
        <v>10</v>
      </c>
      <c r="B18" s="28"/>
      <c r="C18" s="28"/>
      <c r="D18" s="28"/>
      <c r="E18" s="28"/>
      <c r="F18" s="28"/>
      <c r="G18" s="28"/>
    </row>
    <row r="19" spans="1:7" x14ac:dyDescent="0.2">
      <c r="A19" s="28"/>
      <c r="B19" s="28"/>
      <c r="C19" s="28"/>
      <c r="D19" s="28"/>
      <c r="E19" s="28"/>
      <c r="F19" s="28"/>
      <c r="G19" s="28"/>
    </row>
    <row r="20" spans="1:7" x14ac:dyDescent="0.2">
      <c r="A20" s="29" t="s">
        <v>121</v>
      </c>
      <c r="B20" s="24" t="s">
        <v>122</v>
      </c>
      <c r="C20" s="29"/>
      <c r="D20" s="29"/>
      <c r="E20" s="29"/>
      <c r="F20" s="29"/>
    </row>
    <row r="21" spans="1:7" x14ac:dyDescent="0.2">
      <c r="A21" s="29" t="s">
        <v>123</v>
      </c>
      <c r="B21" s="24" t="s">
        <v>124</v>
      </c>
      <c r="C21" s="29"/>
      <c r="D21" s="29"/>
      <c r="E21" s="29"/>
      <c r="F21" s="29"/>
    </row>
    <row r="22" spans="1:7" x14ac:dyDescent="0.2">
      <c r="A22" s="29"/>
      <c r="B22" s="24" t="s">
        <v>154</v>
      </c>
      <c r="C22" s="29"/>
      <c r="D22" s="29"/>
      <c r="E22" s="29"/>
      <c r="F22" s="29"/>
    </row>
    <row r="23" spans="1:7" x14ac:dyDescent="0.2">
      <c r="A23" s="29" t="s">
        <v>126</v>
      </c>
      <c r="B23" s="24" t="s">
        <v>127</v>
      </c>
      <c r="C23" s="29"/>
      <c r="D23" s="29"/>
      <c r="E23" s="29"/>
      <c r="F23" s="29"/>
    </row>
    <row r="24" spans="1:7" x14ac:dyDescent="0.2">
      <c r="A24" s="29"/>
      <c r="B24" s="24" t="s">
        <v>67</v>
      </c>
      <c r="C24" s="29"/>
      <c r="D24" s="29"/>
      <c r="E24" s="29"/>
      <c r="F24" s="29"/>
    </row>
    <row r="25" spans="1:7" x14ac:dyDescent="0.2">
      <c r="A25" s="29" t="s">
        <v>129</v>
      </c>
      <c r="B25" s="24" t="s">
        <v>130</v>
      </c>
      <c r="C25" s="29"/>
      <c r="D25" s="29"/>
      <c r="E25" s="29"/>
      <c r="F25" s="29"/>
    </row>
    <row r="26" spans="1:7" x14ac:dyDescent="0.2">
      <c r="A26" s="29" t="s">
        <v>134</v>
      </c>
      <c r="B26" s="24" t="s">
        <v>135</v>
      </c>
      <c r="C26" s="29"/>
      <c r="D26" s="29"/>
      <c r="E26" s="29"/>
      <c r="F26" s="29"/>
    </row>
    <row r="27" spans="1:7" x14ac:dyDescent="0.2">
      <c r="A27" s="29" t="s">
        <v>143</v>
      </c>
      <c r="B27" s="24" t="s">
        <v>144</v>
      </c>
      <c r="C27" s="29"/>
      <c r="D27" s="29"/>
      <c r="E27" s="29"/>
      <c r="F27" s="29"/>
    </row>
    <row r="28" spans="1:7" x14ac:dyDescent="0.2">
      <c r="A28" s="29"/>
      <c r="C28" s="29"/>
      <c r="D28" s="29"/>
      <c r="E28" s="29"/>
      <c r="F28" s="29"/>
    </row>
    <row r="29" spans="1:7" x14ac:dyDescent="0.2">
      <c r="A29" s="29"/>
      <c r="C29" s="29"/>
      <c r="D29" s="29"/>
      <c r="E29" s="29"/>
      <c r="F29" s="29"/>
    </row>
    <row r="30" spans="1:7" x14ac:dyDescent="0.2">
      <c r="A30" s="25" t="s">
        <v>14</v>
      </c>
      <c r="B30" s="25"/>
      <c r="C30" s="25"/>
      <c r="D30" s="25"/>
      <c r="E30" s="25"/>
      <c r="F30" s="25"/>
      <c r="G30" s="25"/>
    </row>
    <row r="32" spans="1:7" s="29" customFormat="1" x14ac:dyDescent="0.2">
      <c r="A32" s="29" t="s">
        <v>25</v>
      </c>
      <c r="B32" s="29" t="s">
        <v>38</v>
      </c>
      <c r="C32" s="29" t="s">
        <v>2</v>
      </c>
      <c r="D32" s="30" t="s">
        <v>9</v>
      </c>
      <c r="E32" s="30" t="s">
        <v>3</v>
      </c>
      <c r="F32" s="30" t="s">
        <v>4</v>
      </c>
      <c r="G32" s="30" t="s">
        <v>16</v>
      </c>
    </row>
    <row r="33" spans="1:7" x14ac:dyDescent="0.2">
      <c r="A33" s="24" t="str">
        <f>MatP8815C0Colour</f>
        <v>Not Specified</v>
      </c>
      <c r="B33" s="24" t="str">
        <f>IF(MatP8815C0Code=0,"",MatP8815C0Code)</f>
        <v/>
      </c>
      <c r="C33" s="24" t="str">
        <f>MatP8815C0Desc</f>
        <v>TLE Tile</v>
      </c>
      <c r="D33" s="31">
        <v>21</v>
      </c>
      <c r="E33" s="32">
        <f>MatP8815C0Price</f>
        <v>1.2</v>
      </c>
      <c r="F33" s="33" t="str">
        <f>MatP8815C0PerText</f>
        <v>Each</v>
      </c>
      <c r="G33" s="32">
        <f t="shared" ref="G33:G44" si="0">D33 * E33</f>
        <v>25.2</v>
      </c>
    </row>
    <row r="34" spans="1:7" x14ac:dyDescent="0.2">
      <c r="A34" s="24" t="str">
        <f>MatP9008C0Colour</f>
        <v>Not Specified</v>
      </c>
      <c r="B34" s="24" t="str">
        <f>IF(MatP9008C0Code=0,"",MatP9008C0Code)</f>
        <v/>
      </c>
      <c r="C34" s="24" t="str">
        <f>MatP9008C0Desc</f>
        <v>Battens (50mm x 25mm)</v>
      </c>
      <c r="D34" s="31">
        <v>5</v>
      </c>
      <c r="E34" s="32">
        <f>MatP9008C0Price</f>
        <v>0.9</v>
      </c>
      <c r="F34" s="33" t="str">
        <f>MatP9008C0PerText</f>
        <v>Metre</v>
      </c>
      <c r="G34" s="32">
        <f t="shared" si="0"/>
        <v>4.5</v>
      </c>
    </row>
    <row r="35" spans="1:7" x14ac:dyDescent="0.2">
      <c r="A35" s="24" t="str">
        <f>MatP8869C0Colour</f>
        <v>Not Specified</v>
      </c>
      <c r="B35" s="24" t="str">
        <f>IF(MatP8869C0Code=0,"",MatP8869C0Code)</f>
        <v/>
      </c>
      <c r="C35" s="24" t="str">
        <f>MatP8869C0Desc</f>
        <v>RH Uni-Fix Dry Verge Unit</v>
      </c>
      <c r="D35" s="31">
        <v>8</v>
      </c>
      <c r="E35" s="32">
        <f>MatP8869C0Price</f>
        <v>1.1000000000000001</v>
      </c>
      <c r="F35" s="33" t="str">
        <f>MatP8869C0PerText</f>
        <v>Each</v>
      </c>
      <c r="G35" s="32">
        <f t="shared" si="0"/>
        <v>8.8000000000000007</v>
      </c>
    </row>
    <row r="36" spans="1:7" x14ac:dyDescent="0.2">
      <c r="A36" s="24" t="str">
        <f>MatP8857C0Colour</f>
        <v>Not Specified</v>
      </c>
      <c r="B36" s="24" t="str">
        <f>IF(MatP8857C0Code=0,"",MatP8857C0Code)</f>
        <v/>
      </c>
      <c r="C36" s="24" t="str">
        <f>MatP8857C0Desc</f>
        <v>LH Uni-Fix Dry Verge Unit</v>
      </c>
      <c r="D36" s="31">
        <v>8</v>
      </c>
      <c r="E36" s="32">
        <f>MatP8857C0Price</f>
        <v>1.1000000000000001</v>
      </c>
      <c r="F36" s="33" t="str">
        <f>MatP8857C0PerText</f>
        <v>Each</v>
      </c>
      <c r="G36" s="32">
        <f t="shared" si="0"/>
        <v>8.8000000000000007</v>
      </c>
    </row>
    <row r="37" spans="1:7" x14ac:dyDescent="0.2">
      <c r="A37" s="24" t="str">
        <f>MatP8830C20Colour</f>
        <v>Not Specified</v>
      </c>
      <c r="B37" s="24" t="str">
        <f>IF(MatP8830C20Code=0,"",MatP8830C20Code)</f>
        <v/>
      </c>
      <c r="C37" s="24" t="str">
        <f>MatP8830C20Desc</f>
        <v>Dry Verge Starter Unit</v>
      </c>
      <c r="D37" s="31">
        <v>2</v>
      </c>
      <c r="E37" s="32">
        <f>MatP8830C20Price</f>
        <v>1.51</v>
      </c>
      <c r="F37" s="33" t="str">
        <f>MatP8830C20PerText</f>
        <v>Each</v>
      </c>
      <c r="G37" s="32">
        <f t="shared" si="0"/>
        <v>3.02</v>
      </c>
    </row>
    <row r="38" spans="1:7" x14ac:dyDescent="0.2">
      <c r="A38" s="24" t="str">
        <f>MatP8281C0Colour</f>
        <v>Not Specified</v>
      </c>
      <c r="B38" s="24" t="str">
        <f>IF(MatP8281C0Code=0,"",MatP8281C0Code)</f>
        <v/>
      </c>
      <c r="C38" s="24" t="str">
        <f>MatP8281C0Desc</f>
        <v>Generic Eave Insulation (1m)</v>
      </c>
      <c r="D38" s="31">
        <v>2</v>
      </c>
      <c r="E38" s="32">
        <f>MatP8281C0Price</f>
        <v>5</v>
      </c>
      <c r="F38" s="33" t="str">
        <f>MatP8281C0PerText</f>
        <v>Each</v>
      </c>
      <c r="G38" s="32">
        <f t="shared" si="0"/>
        <v>10</v>
      </c>
    </row>
    <row r="39" spans="1:7" x14ac:dyDescent="0.2">
      <c r="A39" s="24" t="str">
        <f>MatP8874C20Colour</f>
        <v>Not Specified</v>
      </c>
      <c r="B39" s="24" t="str">
        <f>IF(MatP8874C20Code=0,"",MatP8874C20Code)</f>
        <v/>
      </c>
      <c r="C39" s="24" t="str">
        <f>MatP8874C20Desc</f>
        <v>Underlay Support Tray (1.5m)</v>
      </c>
      <c r="D39" s="31">
        <v>1</v>
      </c>
      <c r="E39" s="32">
        <f>MatP8874C20Price</f>
        <v>1.5</v>
      </c>
      <c r="F39" s="33" t="str">
        <f>MatP8874C20PerText</f>
        <v>Each</v>
      </c>
      <c r="G39" s="32">
        <f t="shared" si="0"/>
        <v>1.5</v>
      </c>
    </row>
    <row r="40" spans="1:7" x14ac:dyDescent="0.2">
      <c r="A40" s="24" t="str">
        <f>MatP8826C539Colour</f>
        <v>Not Specified</v>
      </c>
      <c r="B40" s="24" t="str">
        <f>IF(MatP8826C539Code=0,"",MatP8826C539Code)</f>
        <v/>
      </c>
      <c r="C40" s="24" t="str">
        <f>MatP8826C539Desc</f>
        <v>Metal Batten End Clips</v>
      </c>
      <c r="D40" s="31">
        <v>8</v>
      </c>
      <c r="E40" s="32">
        <f>MatP8826C539Price</f>
        <v>0.28000000000000003</v>
      </c>
      <c r="F40" s="33" t="str">
        <f>MatP8826C539PerText</f>
        <v>Each</v>
      </c>
      <c r="G40" s="32">
        <f t="shared" si="0"/>
        <v>2.2400000000000002</v>
      </c>
    </row>
    <row r="41" spans="1:7" x14ac:dyDescent="0.2">
      <c r="A41" s="24" t="str">
        <f>MatP8831C539Colour</f>
        <v>Not Specified</v>
      </c>
      <c r="B41" s="24" t="str">
        <f>IF(MatP8831C539Code=0,"",MatP8831C539Code)</f>
        <v/>
      </c>
      <c r="C41" s="24" t="str">
        <f>MatP8831C539Desc</f>
        <v>Eave Clip</v>
      </c>
      <c r="D41" s="31">
        <v>5</v>
      </c>
      <c r="E41" s="32">
        <f>MatP8831C539Price</f>
        <v>0.1</v>
      </c>
      <c r="F41" s="33" t="str">
        <f>MatP8831C539PerText</f>
        <v>Each</v>
      </c>
      <c r="G41" s="32">
        <f t="shared" si="0"/>
        <v>0.5</v>
      </c>
    </row>
    <row r="42" spans="1:7" x14ac:dyDescent="0.2">
      <c r="A42" s="24" t="str">
        <f>MatP9318C0Colour</f>
        <v>Not Specified</v>
      </c>
      <c r="B42" s="24" t="str">
        <f>IF(MatP9318C0Code=0,"",MatP9318C0Code)</f>
        <v/>
      </c>
      <c r="C42" s="24" t="str">
        <f>MatP9318C0Desc</f>
        <v>45mm x 3.35mm Aluminium Nails</v>
      </c>
      <c r="D42" s="31">
        <v>0.99999997764825821</v>
      </c>
      <c r="E42" s="32">
        <f>MatP9318C0Price</f>
        <v>7.28</v>
      </c>
      <c r="F42" s="33" t="str">
        <f>MatP9318C0PerText</f>
        <v>Kg</v>
      </c>
      <c r="G42" s="32">
        <f t="shared" si="0"/>
        <v>7.2799998372793198</v>
      </c>
    </row>
    <row r="43" spans="1:7" x14ac:dyDescent="0.2">
      <c r="A43" s="24" t="str">
        <f>MatP9100C0Colour</f>
        <v>Not Specified</v>
      </c>
      <c r="B43" s="24" t="str">
        <f>IF(MatP9100C0Code=0,"",MatP9100C0Code)</f>
        <v/>
      </c>
      <c r="C43" s="24" t="str">
        <f>MatP9100C0Desc</f>
        <v>Batten Nails - 65mm x 3.35mm Galvanised</v>
      </c>
      <c r="D43" s="31">
        <v>1</v>
      </c>
      <c r="E43" s="32">
        <f>MatP9100C0Price</f>
        <v>4.5</v>
      </c>
      <c r="F43" s="33" t="str">
        <f>MatP9100C0PerText</f>
        <v>Kg</v>
      </c>
      <c r="G43" s="32">
        <f t="shared" si="0"/>
        <v>4.5</v>
      </c>
    </row>
    <row r="44" spans="1:7" x14ac:dyDescent="0.2">
      <c r="A44" s="24" t="str">
        <f>MatP9066C92Colour</f>
        <v>Not Specified</v>
      </c>
      <c r="B44" s="24" t="str">
        <f>IF(MatP9066C92Code=0,"",MatP9066C92Code)</f>
        <v/>
      </c>
      <c r="C44" s="24" t="str">
        <f>MatP9066C92Desc</f>
        <v>Lead Code 4 - 300mm (6m)</v>
      </c>
      <c r="D44" s="31">
        <v>3</v>
      </c>
      <c r="E44" s="32">
        <f>MatP9066C92Price</f>
        <v>15.21</v>
      </c>
      <c r="F44" s="33" t="str">
        <f>MatP9066C92PerText</f>
        <v>Metre</v>
      </c>
      <c r="G44" s="32">
        <f t="shared" si="0"/>
        <v>45.63</v>
      </c>
    </row>
    <row r="45" spans="1:7" x14ac:dyDescent="0.2">
      <c r="D45" s="31"/>
      <c r="E45" s="32"/>
      <c r="F45" s="33"/>
      <c r="G45" s="32"/>
    </row>
    <row r="46" spans="1:7" x14ac:dyDescent="0.2">
      <c r="F46" s="34" t="s">
        <v>5</v>
      </c>
      <c r="G46" s="35">
        <f>SUM(G33:G45)</f>
        <v>121.96999983727932</v>
      </c>
    </row>
    <row r="47" spans="1:7" x14ac:dyDescent="0.2">
      <c r="G47" s="34"/>
    </row>
    <row r="48" spans="1:7" x14ac:dyDescent="0.2">
      <c r="A48" s="25" t="s">
        <v>15</v>
      </c>
      <c r="B48" s="25"/>
      <c r="D48" s="25"/>
      <c r="E48" s="25"/>
      <c r="F48" s="25"/>
      <c r="G48" s="25"/>
    </row>
    <row r="50" spans="1:7" x14ac:dyDescent="0.2">
      <c r="A50" s="102" t="s">
        <v>6</v>
      </c>
      <c r="B50" s="102"/>
      <c r="C50" s="102"/>
      <c r="D50" s="34" t="s">
        <v>7</v>
      </c>
      <c r="E50" s="34" t="s">
        <v>9</v>
      </c>
      <c r="F50" s="34" t="s">
        <v>8</v>
      </c>
      <c r="G50" s="34" t="s">
        <v>16</v>
      </c>
    </row>
    <row r="51" spans="1:7" x14ac:dyDescent="0.2">
      <c r="A51" s="103" t="str">
        <f>LabP8815R6L1G1Desc</f>
        <v>Main Area</v>
      </c>
      <c r="B51" s="103"/>
      <c r="C51" s="103"/>
      <c r="D51" s="36">
        <f>LabP8815R6L1G1Rate</f>
        <v>9</v>
      </c>
      <c r="E51" s="37">
        <f>'MSL-SMI-Porch (Lean to)'!Area</f>
        <v>1.65</v>
      </c>
      <c r="F51" s="27" t="str">
        <f xml:space="preserve"> "" &amp; LabP8815R6L1G1Per</f>
        <v>m²</v>
      </c>
      <c r="G51" s="36">
        <f>D51 * E51</f>
        <v>14.85</v>
      </c>
    </row>
    <row r="52" spans="1:7" x14ac:dyDescent="0.2">
      <c r="A52" s="24" t="str">
        <f>LabP8815R0L1G2Desc</f>
        <v>Eave</v>
      </c>
      <c r="D52" s="36">
        <f>LabP8815R0L1G2Rate</f>
        <v>2.5</v>
      </c>
      <c r="E52" s="37">
        <f>'MSL-SMI-Porch (Lean to)'!Eave</f>
        <v>1.5</v>
      </c>
      <c r="F52" s="27" t="str">
        <f xml:space="preserve"> "" &amp; LabP8815R0L1G2Per</f>
        <v>m</v>
      </c>
      <c r="G52" s="36">
        <f>D52 * E52</f>
        <v>3.75</v>
      </c>
    </row>
    <row r="53" spans="1:7" x14ac:dyDescent="0.2">
      <c r="A53" s="24" t="str">
        <f>LabP8815R0L1G3Desc</f>
        <v>Verge</v>
      </c>
      <c r="D53" s="36">
        <f>LabP8815R0L1G3Rate</f>
        <v>2.5</v>
      </c>
      <c r="E53" s="37">
        <f>LeftVerge+RightVerge</f>
        <v>2.2000000000000002</v>
      </c>
      <c r="F53" s="27" t="str">
        <f xml:space="preserve"> "" &amp; LabP8815R0L1G3Per</f>
        <v>m</v>
      </c>
      <c r="G53" s="36">
        <f>D53 * E53</f>
        <v>5.5</v>
      </c>
    </row>
    <row r="54" spans="1:7" x14ac:dyDescent="0.2">
      <c r="A54" s="24" t="str">
        <f>LabP8815R15L1G243Desc</f>
        <v>Apron Flashing (Code 4)</v>
      </c>
      <c r="D54" s="36">
        <f>LabP8815R15L1G243Rate</f>
        <v>15</v>
      </c>
      <c r="E54" s="37">
        <v>1.5</v>
      </c>
      <c r="F54" s="27" t="str">
        <f xml:space="preserve"> "" &amp; LabP8815R15L1G243Per</f>
        <v>m</v>
      </c>
      <c r="G54" s="36">
        <f>D54 * E54</f>
        <v>22.5</v>
      </c>
    </row>
    <row r="55" spans="1:7" x14ac:dyDescent="0.2">
      <c r="A55" s="24" t="str">
        <f>LabP8815R150LabLabourforPorchesDesc</f>
        <v>Labour for Porches</v>
      </c>
      <c r="D55" s="36">
        <f>LabP8815R150LabLabourforPorchesRate</f>
        <v>150</v>
      </c>
      <c r="E55" s="37">
        <v>1</v>
      </c>
      <c r="F55" s="27" t="str">
        <f xml:space="preserve"> "" &amp; LabP8815R150LabLabourforPorchesPer</f>
        <v/>
      </c>
      <c r="G55" s="36">
        <f>D55 * E55</f>
        <v>150</v>
      </c>
    </row>
    <row r="56" spans="1:7" x14ac:dyDescent="0.2">
      <c r="D56" s="36"/>
      <c r="E56" s="37"/>
      <c r="F56" s="27"/>
      <c r="G56" s="36"/>
    </row>
    <row r="57" spans="1:7" x14ac:dyDescent="0.2">
      <c r="A57" s="103"/>
      <c r="B57" s="103"/>
      <c r="C57" s="103"/>
      <c r="D57" s="36"/>
      <c r="E57" s="37"/>
      <c r="G57" s="36"/>
    </row>
    <row r="58" spans="1:7" x14ac:dyDescent="0.2">
      <c r="F58" s="34" t="s">
        <v>5</v>
      </c>
      <c r="G58" s="35">
        <f>SUM(G51:G57)</f>
        <v>196.6</v>
      </c>
    </row>
    <row r="62" spans="1:7" x14ac:dyDescent="0.2">
      <c r="A62" s="34"/>
      <c r="B62" s="38"/>
    </row>
    <row r="64" spans="1:7" x14ac:dyDescent="0.2">
      <c r="A64" s="34"/>
      <c r="B64" s="38"/>
    </row>
    <row r="66" spans="1:3" x14ac:dyDescent="0.2">
      <c r="A66" s="34"/>
      <c r="B66" s="38"/>
    </row>
    <row r="68" spans="1:3" x14ac:dyDescent="0.2">
      <c r="A68" s="34"/>
      <c r="B68" s="38"/>
    </row>
    <row r="71" spans="1:3" x14ac:dyDescent="0.2">
      <c r="A71" s="34"/>
      <c r="B71" s="38"/>
      <c r="C71" s="39"/>
    </row>
    <row r="73" spans="1:3" x14ac:dyDescent="0.2">
      <c r="A73" s="34"/>
      <c r="B73" s="38"/>
    </row>
    <row r="75" spans="1:3" x14ac:dyDescent="0.2">
      <c r="A75" s="34"/>
      <c r="B75" s="38"/>
      <c r="C75" s="39"/>
    </row>
    <row r="77" spans="1:3" x14ac:dyDescent="0.2">
      <c r="A77" s="34"/>
      <c r="B77" s="38"/>
    </row>
    <row r="79" spans="1:3" x14ac:dyDescent="0.2">
      <c r="A79" s="34"/>
      <c r="B79" s="38"/>
    </row>
    <row r="82" spans="1:3" x14ac:dyDescent="0.2">
      <c r="A82" s="34"/>
      <c r="B82" s="38"/>
    </row>
    <row r="84" spans="1:3" x14ac:dyDescent="0.2">
      <c r="A84" s="34"/>
      <c r="B84" s="38"/>
    </row>
    <row r="86" spans="1:3" x14ac:dyDescent="0.2">
      <c r="A86" s="34"/>
      <c r="B86" s="38"/>
      <c r="C86" s="39"/>
    </row>
    <row r="89" spans="1:3" x14ac:dyDescent="0.2">
      <c r="A89" s="34"/>
      <c r="B89" s="40"/>
      <c r="C89" s="23"/>
    </row>
    <row r="92" spans="1:3" x14ac:dyDescent="0.2">
      <c r="A92" s="39"/>
      <c r="B92" s="41"/>
    </row>
  </sheetData>
  <mergeCells count="5">
    <mergeCell ref="B4:F4"/>
    <mergeCell ref="B5:F5"/>
    <mergeCell ref="A50:C50"/>
    <mergeCell ref="A51:C51"/>
    <mergeCell ref="A57:C57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A9A93-E20E-48AC-8042-793DDA7C8ABD}">
  <dimension ref="A1:G92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192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145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1.65</v>
      </c>
      <c r="C9" s="23"/>
      <c r="D9" s="26"/>
    </row>
    <row r="10" spans="1:7" x14ac:dyDescent="0.2">
      <c r="A10" s="23" t="s">
        <v>114</v>
      </c>
      <c r="B10" s="24">
        <v>1.5</v>
      </c>
      <c r="C10" s="23"/>
      <c r="D10" s="26"/>
    </row>
    <row r="11" spans="1:7" x14ac:dyDescent="0.2">
      <c r="A11" s="23" t="s">
        <v>141</v>
      </c>
      <c r="B11" s="24">
        <v>1.5</v>
      </c>
      <c r="C11" s="23"/>
      <c r="D11" s="26"/>
    </row>
    <row r="12" spans="1:7" x14ac:dyDescent="0.2">
      <c r="A12" s="23" t="s">
        <v>115</v>
      </c>
      <c r="B12" s="24">
        <v>1.1000000000000001</v>
      </c>
      <c r="C12" s="23"/>
      <c r="D12" s="26"/>
    </row>
    <row r="13" spans="1:7" x14ac:dyDescent="0.2">
      <c r="A13" s="23" t="s">
        <v>116</v>
      </c>
      <c r="B13" s="24">
        <v>1.1000000000000001</v>
      </c>
      <c r="C13" s="23"/>
      <c r="D13" s="26"/>
    </row>
    <row r="14" spans="1:7" x14ac:dyDescent="0.2">
      <c r="A14" s="23" t="s">
        <v>119</v>
      </c>
      <c r="B14" s="24">
        <v>600</v>
      </c>
      <c r="C14" s="23"/>
      <c r="D14" s="26"/>
    </row>
    <row r="15" spans="1:7" x14ac:dyDescent="0.2">
      <c r="A15" s="23" t="s">
        <v>120</v>
      </c>
      <c r="B15" s="24">
        <v>35</v>
      </c>
      <c r="C15" s="23"/>
      <c r="D15" s="26"/>
    </row>
    <row r="16" spans="1:7" x14ac:dyDescent="0.2">
      <c r="A16" s="23"/>
      <c r="C16" s="23"/>
      <c r="D16" s="26"/>
    </row>
    <row r="17" spans="1:7" x14ac:dyDescent="0.2">
      <c r="A17" s="23"/>
      <c r="B17" s="27"/>
      <c r="C17" s="23"/>
      <c r="D17" s="26"/>
    </row>
    <row r="18" spans="1:7" x14ac:dyDescent="0.2">
      <c r="A18" s="28" t="s">
        <v>10</v>
      </c>
      <c r="B18" s="28"/>
      <c r="C18" s="28"/>
      <c r="D18" s="28"/>
      <c r="E18" s="28"/>
      <c r="F18" s="28"/>
      <c r="G18" s="28"/>
    </row>
    <row r="19" spans="1:7" x14ac:dyDescent="0.2">
      <c r="A19" s="28"/>
      <c r="B19" s="28"/>
      <c r="C19" s="28"/>
      <c r="D19" s="28"/>
      <c r="E19" s="28"/>
      <c r="F19" s="28"/>
      <c r="G19" s="28"/>
    </row>
    <row r="20" spans="1:7" x14ac:dyDescent="0.2">
      <c r="A20" s="29" t="s">
        <v>121</v>
      </c>
      <c r="B20" s="24" t="s">
        <v>122</v>
      </c>
      <c r="C20" s="29"/>
      <c r="D20" s="29"/>
      <c r="E20" s="29"/>
      <c r="F20" s="29"/>
    </row>
    <row r="21" spans="1:7" x14ac:dyDescent="0.2">
      <c r="A21" s="29" t="s">
        <v>123</v>
      </c>
      <c r="B21" s="24" t="s">
        <v>124</v>
      </c>
      <c r="C21" s="29"/>
      <c r="D21" s="29"/>
      <c r="E21" s="29"/>
      <c r="F21" s="29"/>
    </row>
    <row r="22" spans="1:7" x14ac:dyDescent="0.2">
      <c r="A22" s="29"/>
      <c r="B22" s="24" t="s">
        <v>154</v>
      </c>
      <c r="C22" s="29"/>
      <c r="D22" s="29"/>
      <c r="E22" s="29"/>
      <c r="F22" s="29"/>
    </row>
    <row r="23" spans="1:7" x14ac:dyDescent="0.2">
      <c r="A23" s="29" t="s">
        <v>126</v>
      </c>
      <c r="B23" s="24" t="s">
        <v>127</v>
      </c>
      <c r="C23" s="29"/>
      <c r="D23" s="29"/>
      <c r="E23" s="29"/>
      <c r="F23" s="29"/>
    </row>
    <row r="24" spans="1:7" x14ac:dyDescent="0.2">
      <c r="A24" s="29"/>
      <c r="B24" s="24" t="s">
        <v>67</v>
      </c>
      <c r="C24" s="29"/>
      <c r="D24" s="29"/>
      <c r="E24" s="29"/>
      <c r="F24" s="29"/>
    </row>
    <row r="25" spans="1:7" x14ac:dyDescent="0.2">
      <c r="A25" s="29" t="s">
        <v>129</v>
      </c>
      <c r="B25" s="24" t="s">
        <v>130</v>
      </c>
      <c r="C25" s="29"/>
      <c r="D25" s="29"/>
      <c r="E25" s="29"/>
      <c r="F25" s="29"/>
    </row>
    <row r="26" spans="1:7" x14ac:dyDescent="0.2">
      <c r="A26" s="29" t="s">
        <v>134</v>
      </c>
      <c r="B26" s="24" t="s">
        <v>135</v>
      </c>
      <c r="C26" s="29"/>
      <c r="D26" s="29"/>
      <c r="E26" s="29"/>
      <c r="F26" s="29"/>
    </row>
    <row r="27" spans="1:7" x14ac:dyDescent="0.2">
      <c r="A27" s="29" t="s">
        <v>143</v>
      </c>
      <c r="B27" s="24" t="s">
        <v>144</v>
      </c>
      <c r="C27" s="29"/>
      <c r="D27" s="29"/>
      <c r="E27" s="29"/>
      <c r="F27" s="29"/>
    </row>
    <row r="28" spans="1:7" x14ac:dyDescent="0.2">
      <c r="A28" s="29"/>
      <c r="C28" s="29"/>
      <c r="D28" s="29"/>
      <c r="E28" s="29"/>
      <c r="F28" s="29"/>
    </row>
    <row r="29" spans="1:7" x14ac:dyDescent="0.2">
      <c r="A29" s="29"/>
      <c r="C29" s="29"/>
      <c r="D29" s="29"/>
      <c r="E29" s="29"/>
      <c r="F29" s="29"/>
    </row>
    <row r="30" spans="1:7" x14ac:dyDescent="0.2">
      <c r="A30" s="25" t="s">
        <v>14</v>
      </c>
      <c r="B30" s="25"/>
      <c r="C30" s="25"/>
      <c r="D30" s="25"/>
      <c r="E30" s="25"/>
      <c r="F30" s="25"/>
      <c r="G30" s="25"/>
    </row>
    <row r="32" spans="1:7" s="29" customFormat="1" x14ac:dyDescent="0.2">
      <c r="A32" s="29" t="s">
        <v>25</v>
      </c>
      <c r="B32" s="29" t="s">
        <v>38</v>
      </c>
      <c r="C32" s="29" t="s">
        <v>2</v>
      </c>
      <c r="D32" s="30" t="s">
        <v>9</v>
      </c>
      <c r="E32" s="30" t="s">
        <v>3</v>
      </c>
      <c r="F32" s="30" t="s">
        <v>4</v>
      </c>
      <c r="G32" s="30" t="s">
        <v>16</v>
      </c>
    </row>
    <row r="33" spans="1:7" x14ac:dyDescent="0.2">
      <c r="A33" s="24" t="str">
        <f>MatP8815C0Colour</f>
        <v>Not Specified</v>
      </c>
      <c r="B33" s="24" t="str">
        <f>IF(MatP8815C0Code=0,"",MatP8815C0Code)</f>
        <v/>
      </c>
      <c r="C33" s="24" t="str">
        <f>MatP8815C0Desc</f>
        <v>TLE Tile</v>
      </c>
      <c r="D33" s="31">
        <v>21</v>
      </c>
      <c r="E33" s="32">
        <f>MatP8815C0Price</f>
        <v>1.2</v>
      </c>
      <c r="F33" s="33" t="str">
        <f>MatP8815C0PerText</f>
        <v>Each</v>
      </c>
      <c r="G33" s="32">
        <f t="shared" ref="G33:G44" si="0">D33 * E33</f>
        <v>25.2</v>
      </c>
    </row>
    <row r="34" spans="1:7" x14ac:dyDescent="0.2">
      <c r="A34" s="24" t="str">
        <f>MatP9008C0Colour</f>
        <v>Not Specified</v>
      </c>
      <c r="B34" s="24" t="str">
        <f>IF(MatP9008C0Code=0,"",MatP9008C0Code)</f>
        <v/>
      </c>
      <c r="C34" s="24" t="str">
        <f>MatP9008C0Desc</f>
        <v>Battens (50mm x 25mm)</v>
      </c>
      <c r="D34" s="31">
        <v>5</v>
      </c>
      <c r="E34" s="32">
        <f>MatP9008C0Price</f>
        <v>0.9</v>
      </c>
      <c r="F34" s="33" t="str">
        <f>MatP9008C0PerText</f>
        <v>Metre</v>
      </c>
      <c r="G34" s="32">
        <f t="shared" si="0"/>
        <v>4.5</v>
      </c>
    </row>
    <row r="35" spans="1:7" x14ac:dyDescent="0.2">
      <c r="A35" s="24" t="str">
        <f>MatP8869C0Colour</f>
        <v>Not Specified</v>
      </c>
      <c r="B35" s="24" t="str">
        <f>IF(MatP8869C0Code=0,"",MatP8869C0Code)</f>
        <v/>
      </c>
      <c r="C35" s="24" t="str">
        <f>MatP8869C0Desc</f>
        <v>RH Uni-Fix Dry Verge Unit</v>
      </c>
      <c r="D35" s="31">
        <v>8</v>
      </c>
      <c r="E35" s="32">
        <f>MatP8869C0Price</f>
        <v>1.1000000000000001</v>
      </c>
      <c r="F35" s="33" t="str">
        <f>MatP8869C0PerText</f>
        <v>Each</v>
      </c>
      <c r="G35" s="32">
        <f t="shared" si="0"/>
        <v>8.8000000000000007</v>
      </c>
    </row>
    <row r="36" spans="1:7" x14ac:dyDescent="0.2">
      <c r="A36" s="24" t="str">
        <f>MatP8857C0Colour</f>
        <v>Not Specified</v>
      </c>
      <c r="B36" s="24" t="str">
        <f>IF(MatP8857C0Code=0,"",MatP8857C0Code)</f>
        <v/>
      </c>
      <c r="C36" s="24" t="str">
        <f>MatP8857C0Desc</f>
        <v>LH Uni-Fix Dry Verge Unit</v>
      </c>
      <c r="D36" s="31">
        <v>8</v>
      </c>
      <c r="E36" s="32">
        <f>MatP8857C0Price</f>
        <v>1.1000000000000001</v>
      </c>
      <c r="F36" s="33" t="str">
        <f>MatP8857C0PerText</f>
        <v>Each</v>
      </c>
      <c r="G36" s="32">
        <f t="shared" si="0"/>
        <v>8.8000000000000007</v>
      </c>
    </row>
    <row r="37" spans="1:7" x14ac:dyDescent="0.2">
      <c r="A37" s="24" t="str">
        <f>MatP8830C20Colour</f>
        <v>Not Specified</v>
      </c>
      <c r="B37" s="24" t="str">
        <f>IF(MatP8830C20Code=0,"",MatP8830C20Code)</f>
        <v/>
      </c>
      <c r="C37" s="24" t="str">
        <f>MatP8830C20Desc</f>
        <v>Dry Verge Starter Unit</v>
      </c>
      <c r="D37" s="31">
        <v>2</v>
      </c>
      <c r="E37" s="32">
        <f>MatP8830C20Price</f>
        <v>1.51</v>
      </c>
      <c r="F37" s="33" t="str">
        <f>MatP8830C20PerText</f>
        <v>Each</v>
      </c>
      <c r="G37" s="32">
        <f t="shared" si="0"/>
        <v>3.02</v>
      </c>
    </row>
    <row r="38" spans="1:7" x14ac:dyDescent="0.2">
      <c r="A38" s="24" t="str">
        <f>MatP8281C0Colour</f>
        <v>Not Specified</v>
      </c>
      <c r="B38" s="24" t="str">
        <f>IF(MatP8281C0Code=0,"",MatP8281C0Code)</f>
        <v/>
      </c>
      <c r="C38" s="24" t="str">
        <f>MatP8281C0Desc</f>
        <v>Generic Eave Insulation (1m)</v>
      </c>
      <c r="D38" s="31">
        <v>2</v>
      </c>
      <c r="E38" s="32">
        <f>MatP8281C0Price</f>
        <v>5</v>
      </c>
      <c r="F38" s="33" t="str">
        <f>MatP8281C0PerText</f>
        <v>Each</v>
      </c>
      <c r="G38" s="32">
        <f t="shared" si="0"/>
        <v>10</v>
      </c>
    </row>
    <row r="39" spans="1:7" x14ac:dyDescent="0.2">
      <c r="A39" s="24" t="str">
        <f>MatP8874C20Colour</f>
        <v>Not Specified</v>
      </c>
      <c r="B39" s="24" t="str">
        <f>IF(MatP8874C20Code=0,"",MatP8874C20Code)</f>
        <v/>
      </c>
      <c r="C39" s="24" t="str">
        <f>MatP8874C20Desc</f>
        <v>Underlay Support Tray (1.5m)</v>
      </c>
      <c r="D39" s="31">
        <v>1</v>
      </c>
      <c r="E39" s="32">
        <f>MatP8874C20Price</f>
        <v>1.5</v>
      </c>
      <c r="F39" s="33" t="str">
        <f>MatP8874C20PerText</f>
        <v>Each</v>
      </c>
      <c r="G39" s="32">
        <f t="shared" si="0"/>
        <v>1.5</v>
      </c>
    </row>
    <row r="40" spans="1:7" x14ac:dyDescent="0.2">
      <c r="A40" s="24" t="str">
        <f>MatP8826C539Colour</f>
        <v>Not Specified</v>
      </c>
      <c r="B40" s="24" t="str">
        <f>IF(MatP8826C539Code=0,"",MatP8826C539Code)</f>
        <v/>
      </c>
      <c r="C40" s="24" t="str">
        <f>MatP8826C539Desc</f>
        <v>Metal Batten End Clips</v>
      </c>
      <c r="D40" s="31">
        <v>8</v>
      </c>
      <c r="E40" s="32">
        <f>MatP8826C539Price</f>
        <v>0.28000000000000003</v>
      </c>
      <c r="F40" s="33" t="str">
        <f>MatP8826C539PerText</f>
        <v>Each</v>
      </c>
      <c r="G40" s="32">
        <f t="shared" si="0"/>
        <v>2.2400000000000002</v>
      </c>
    </row>
    <row r="41" spans="1:7" x14ac:dyDescent="0.2">
      <c r="A41" s="24" t="str">
        <f>MatP8831C539Colour</f>
        <v>Not Specified</v>
      </c>
      <c r="B41" s="24" t="str">
        <f>IF(MatP8831C539Code=0,"",MatP8831C539Code)</f>
        <v/>
      </c>
      <c r="C41" s="24" t="str">
        <f>MatP8831C539Desc</f>
        <v>Eave Clip</v>
      </c>
      <c r="D41" s="31">
        <v>5</v>
      </c>
      <c r="E41" s="32">
        <f>MatP8831C539Price</f>
        <v>0.1</v>
      </c>
      <c r="F41" s="33" t="str">
        <f>MatP8831C539PerText</f>
        <v>Each</v>
      </c>
      <c r="G41" s="32">
        <f t="shared" si="0"/>
        <v>0.5</v>
      </c>
    </row>
    <row r="42" spans="1:7" x14ac:dyDescent="0.2">
      <c r="A42" s="24" t="str">
        <f>MatP9318C0Colour</f>
        <v>Not Specified</v>
      </c>
      <c r="B42" s="24" t="str">
        <f>IF(MatP9318C0Code=0,"",MatP9318C0Code)</f>
        <v/>
      </c>
      <c r="C42" s="24" t="str">
        <f>MatP9318C0Desc</f>
        <v>45mm x 3.35mm Aluminium Nails</v>
      </c>
      <c r="D42" s="31">
        <v>0.99999997764825821</v>
      </c>
      <c r="E42" s="32">
        <f>MatP9318C0Price</f>
        <v>7.28</v>
      </c>
      <c r="F42" s="33" t="str">
        <f>MatP9318C0PerText</f>
        <v>Kg</v>
      </c>
      <c r="G42" s="32">
        <f t="shared" si="0"/>
        <v>7.2799998372793198</v>
      </c>
    </row>
    <row r="43" spans="1:7" x14ac:dyDescent="0.2">
      <c r="A43" s="24" t="str">
        <f>MatP9100C0Colour</f>
        <v>Not Specified</v>
      </c>
      <c r="B43" s="24" t="str">
        <f>IF(MatP9100C0Code=0,"",MatP9100C0Code)</f>
        <v/>
      </c>
      <c r="C43" s="24" t="str">
        <f>MatP9100C0Desc</f>
        <v>Batten Nails - 65mm x 3.35mm Galvanised</v>
      </c>
      <c r="D43" s="31">
        <v>1</v>
      </c>
      <c r="E43" s="32">
        <f>MatP9100C0Price</f>
        <v>4.5</v>
      </c>
      <c r="F43" s="33" t="str">
        <f>MatP9100C0PerText</f>
        <v>Kg</v>
      </c>
      <c r="G43" s="32">
        <f t="shared" si="0"/>
        <v>4.5</v>
      </c>
    </row>
    <row r="44" spans="1:7" x14ac:dyDescent="0.2">
      <c r="A44" s="24" t="str">
        <f>MatP9066C92Colour</f>
        <v>Not Specified</v>
      </c>
      <c r="B44" s="24" t="str">
        <f>IF(MatP9066C92Code=0,"",MatP9066C92Code)</f>
        <v/>
      </c>
      <c r="C44" s="24" t="str">
        <f>MatP9066C92Desc</f>
        <v>Lead Code 4 - 300mm (6m)</v>
      </c>
      <c r="D44" s="31">
        <v>3</v>
      </c>
      <c r="E44" s="32">
        <f>MatP9066C92Price</f>
        <v>15.21</v>
      </c>
      <c r="F44" s="33" t="str">
        <f>MatP9066C92PerText</f>
        <v>Metre</v>
      </c>
      <c r="G44" s="32">
        <f t="shared" si="0"/>
        <v>45.63</v>
      </c>
    </row>
    <row r="45" spans="1:7" x14ac:dyDescent="0.2">
      <c r="D45" s="31"/>
      <c r="E45" s="32"/>
      <c r="F45" s="33"/>
      <c r="G45" s="32"/>
    </row>
    <row r="46" spans="1:7" x14ac:dyDescent="0.2">
      <c r="F46" s="34" t="s">
        <v>5</v>
      </c>
      <c r="G46" s="35">
        <f>SUM(G33:G45)</f>
        <v>121.96999983727932</v>
      </c>
    </row>
    <row r="47" spans="1:7" x14ac:dyDescent="0.2">
      <c r="G47" s="34"/>
    </row>
    <row r="48" spans="1:7" x14ac:dyDescent="0.2">
      <c r="A48" s="25" t="s">
        <v>15</v>
      </c>
      <c r="B48" s="25"/>
      <c r="D48" s="25"/>
      <c r="E48" s="25"/>
      <c r="F48" s="25"/>
      <c r="G48" s="25"/>
    </row>
    <row r="50" spans="1:7" x14ac:dyDescent="0.2">
      <c r="A50" s="102" t="s">
        <v>6</v>
      </c>
      <c r="B50" s="102"/>
      <c r="C50" s="102"/>
      <c r="D50" s="34" t="s">
        <v>7</v>
      </c>
      <c r="E50" s="34" t="s">
        <v>9</v>
      </c>
      <c r="F50" s="34" t="s">
        <v>8</v>
      </c>
      <c r="G50" s="34" t="s">
        <v>16</v>
      </c>
    </row>
    <row r="51" spans="1:7" x14ac:dyDescent="0.2">
      <c r="A51" s="103" t="str">
        <f>LabP8815R6L1G1Desc</f>
        <v>Main Area</v>
      </c>
      <c r="B51" s="103"/>
      <c r="C51" s="103"/>
      <c r="D51" s="36">
        <f>LabP8815R6L1G1Rate</f>
        <v>9</v>
      </c>
      <c r="E51" s="37">
        <f>'MSL-SMI-Porch (Lean to)(1)'!Area</f>
        <v>1.65</v>
      </c>
      <c r="F51" s="27" t="str">
        <f xml:space="preserve"> "" &amp; LabP8815R6L1G1Per</f>
        <v>m²</v>
      </c>
      <c r="G51" s="36">
        <f>D51 * E51</f>
        <v>14.85</v>
      </c>
    </row>
    <row r="52" spans="1:7" x14ac:dyDescent="0.2">
      <c r="A52" s="24" t="str">
        <f>LabP8815R0L1G2Desc</f>
        <v>Eave</v>
      </c>
      <c r="D52" s="36">
        <f>LabP8815R0L1G2Rate</f>
        <v>2.5</v>
      </c>
      <c r="E52" s="37">
        <f>'MSL-SMI-Porch (Lean to)(1)'!Eave</f>
        <v>1.5</v>
      </c>
      <c r="F52" s="27" t="str">
        <f xml:space="preserve"> "" &amp; LabP8815R0L1G2Per</f>
        <v>m</v>
      </c>
      <c r="G52" s="36">
        <f>D52 * E52</f>
        <v>3.75</v>
      </c>
    </row>
    <row r="53" spans="1:7" x14ac:dyDescent="0.2">
      <c r="A53" s="24" t="str">
        <f>LabP8815R0L1G3Desc</f>
        <v>Verge</v>
      </c>
      <c r="D53" s="36">
        <f>LabP8815R0L1G3Rate</f>
        <v>2.5</v>
      </c>
      <c r="E53" s="37">
        <f>LeftVerge+RightVerge</f>
        <v>2.2000000000000002</v>
      </c>
      <c r="F53" s="27" t="str">
        <f xml:space="preserve"> "" &amp; LabP8815R0L1G3Per</f>
        <v>m</v>
      </c>
      <c r="G53" s="36">
        <f>D53 * E53</f>
        <v>5.5</v>
      </c>
    </row>
    <row r="54" spans="1:7" x14ac:dyDescent="0.2">
      <c r="A54" s="24" t="str">
        <f>LabP8815R15L1G243Desc</f>
        <v>Apron Flashing (Code 4)</v>
      </c>
      <c r="D54" s="36">
        <f>LabP8815R15L1G243Rate</f>
        <v>15</v>
      </c>
      <c r="E54" s="37">
        <v>1.5</v>
      </c>
      <c r="F54" s="27" t="str">
        <f xml:space="preserve"> "" &amp; LabP8815R15L1G243Per</f>
        <v>m</v>
      </c>
      <c r="G54" s="36">
        <f>D54 * E54</f>
        <v>22.5</v>
      </c>
    </row>
    <row r="55" spans="1:7" x14ac:dyDescent="0.2">
      <c r="A55" s="24" t="str">
        <f>LabP8815R150LabLabourforPorchesDesc</f>
        <v>Labour for Porches</v>
      </c>
      <c r="D55" s="36">
        <f>LabP8815R150LabLabourforPorchesRate</f>
        <v>150</v>
      </c>
      <c r="E55" s="37">
        <v>1</v>
      </c>
      <c r="F55" s="27" t="str">
        <f xml:space="preserve"> "" &amp; LabP8815R150LabLabourforPorchesPer</f>
        <v/>
      </c>
      <c r="G55" s="36">
        <f>D55 * E55</f>
        <v>150</v>
      </c>
    </row>
    <row r="56" spans="1:7" x14ac:dyDescent="0.2">
      <c r="D56" s="36"/>
      <c r="E56" s="37"/>
      <c r="F56" s="27"/>
      <c r="G56" s="36"/>
    </row>
    <row r="57" spans="1:7" x14ac:dyDescent="0.2">
      <c r="A57" s="103"/>
      <c r="B57" s="103"/>
      <c r="C57" s="103"/>
      <c r="D57" s="36"/>
      <c r="E57" s="37"/>
      <c r="G57" s="36"/>
    </row>
    <row r="58" spans="1:7" x14ac:dyDescent="0.2">
      <c r="F58" s="34" t="s">
        <v>5</v>
      </c>
      <c r="G58" s="35">
        <f>SUM(G51:G57)</f>
        <v>196.6</v>
      </c>
    </row>
    <row r="62" spans="1:7" x14ac:dyDescent="0.2">
      <c r="A62" s="34"/>
      <c r="B62" s="38"/>
    </row>
    <row r="64" spans="1:7" x14ac:dyDescent="0.2">
      <c r="A64" s="34"/>
      <c r="B64" s="38"/>
    </row>
    <row r="66" spans="1:3" x14ac:dyDescent="0.2">
      <c r="A66" s="34"/>
      <c r="B66" s="38"/>
    </row>
    <row r="68" spans="1:3" x14ac:dyDescent="0.2">
      <c r="A68" s="34"/>
      <c r="B68" s="38"/>
    </row>
    <row r="71" spans="1:3" x14ac:dyDescent="0.2">
      <c r="A71" s="34"/>
      <c r="B71" s="38"/>
      <c r="C71" s="39"/>
    </row>
    <row r="73" spans="1:3" x14ac:dyDescent="0.2">
      <c r="A73" s="34"/>
      <c r="B73" s="38"/>
    </row>
    <row r="75" spans="1:3" x14ac:dyDescent="0.2">
      <c r="A75" s="34"/>
      <c r="B75" s="38"/>
      <c r="C75" s="39"/>
    </row>
    <row r="77" spans="1:3" x14ac:dyDescent="0.2">
      <c r="A77" s="34"/>
      <c r="B77" s="38"/>
    </row>
    <row r="79" spans="1:3" x14ac:dyDescent="0.2">
      <c r="A79" s="34"/>
      <c r="B79" s="38"/>
    </row>
    <row r="82" spans="1:3" x14ac:dyDescent="0.2">
      <c r="A82" s="34"/>
      <c r="B82" s="38"/>
    </row>
    <row r="84" spans="1:3" x14ac:dyDescent="0.2">
      <c r="A84" s="34"/>
      <c r="B84" s="38"/>
    </row>
    <row r="86" spans="1:3" x14ac:dyDescent="0.2">
      <c r="A86" s="34"/>
      <c r="B86" s="38"/>
      <c r="C86" s="39"/>
    </row>
    <row r="89" spans="1:3" x14ac:dyDescent="0.2">
      <c r="A89" s="34"/>
      <c r="B89" s="40"/>
      <c r="C89" s="23"/>
    </row>
    <row r="92" spans="1:3" x14ac:dyDescent="0.2">
      <c r="A92" s="39"/>
      <c r="B92" s="41"/>
    </row>
  </sheetData>
  <mergeCells count="5">
    <mergeCell ref="B4:F4"/>
    <mergeCell ref="B5:F5"/>
    <mergeCell ref="A50:C50"/>
    <mergeCell ref="A51:C51"/>
    <mergeCell ref="A57:C57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6408A-E047-4D65-B79F-C1E20CD80211}">
  <dimension ref="A1:G105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196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139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84.65</v>
      </c>
      <c r="C9" s="23"/>
      <c r="D9" s="26"/>
    </row>
    <row r="10" spans="1:7" x14ac:dyDescent="0.2">
      <c r="A10" s="23" t="s">
        <v>114</v>
      </c>
      <c r="B10" s="24">
        <v>13.6</v>
      </c>
      <c r="C10" s="23"/>
      <c r="D10" s="26"/>
    </row>
    <row r="11" spans="1:7" x14ac:dyDescent="0.2">
      <c r="A11" s="23" t="s">
        <v>115</v>
      </c>
      <c r="B11" s="24">
        <v>12.67</v>
      </c>
      <c r="C11" s="23"/>
      <c r="D11" s="26"/>
    </row>
    <row r="12" spans="1:7" x14ac:dyDescent="0.2">
      <c r="A12" s="23" t="s">
        <v>116</v>
      </c>
      <c r="B12" s="24">
        <v>12.67</v>
      </c>
      <c r="C12" s="23"/>
      <c r="D12" s="26"/>
    </row>
    <row r="13" spans="1:7" x14ac:dyDescent="0.2">
      <c r="A13" s="23" t="s">
        <v>158</v>
      </c>
      <c r="B13" s="24">
        <v>9.2200000000000006</v>
      </c>
      <c r="C13" s="23"/>
      <c r="D13" s="26"/>
    </row>
    <row r="14" spans="1:7" x14ac:dyDescent="0.2">
      <c r="A14" s="23" t="s">
        <v>117</v>
      </c>
      <c r="B14" s="24">
        <v>12.52</v>
      </c>
      <c r="C14" s="23"/>
      <c r="D14" s="26"/>
    </row>
    <row r="15" spans="1:7" x14ac:dyDescent="0.2">
      <c r="A15" s="23" t="s">
        <v>119</v>
      </c>
      <c r="B15" s="24">
        <v>600</v>
      </c>
      <c r="C15" s="23"/>
      <c r="D15" s="26"/>
    </row>
    <row r="16" spans="1:7" x14ac:dyDescent="0.2">
      <c r="A16" s="23" t="s">
        <v>120</v>
      </c>
      <c r="B16" s="24" t="s">
        <v>179</v>
      </c>
      <c r="C16" s="23"/>
      <c r="D16" s="26"/>
    </row>
    <row r="17" spans="1:7" x14ac:dyDescent="0.2">
      <c r="A17" s="23"/>
      <c r="C17" s="23"/>
      <c r="D17" s="26"/>
    </row>
    <row r="18" spans="1:7" x14ac:dyDescent="0.2">
      <c r="A18" s="23"/>
      <c r="B18" s="27"/>
      <c r="C18" s="23"/>
      <c r="D18" s="26"/>
    </row>
    <row r="19" spans="1:7" x14ac:dyDescent="0.2">
      <c r="A19" s="28" t="s">
        <v>10</v>
      </c>
      <c r="B19" s="28"/>
      <c r="C19" s="28"/>
      <c r="D19" s="28"/>
      <c r="E19" s="28"/>
      <c r="F19" s="28"/>
      <c r="G19" s="28"/>
    </row>
    <row r="20" spans="1:7" x14ac:dyDescent="0.2">
      <c r="A20" s="28"/>
      <c r="B20" s="28"/>
      <c r="C20" s="28"/>
      <c r="D20" s="28"/>
      <c r="E20" s="28"/>
      <c r="F20" s="28"/>
      <c r="G20" s="28"/>
    </row>
    <row r="21" spans="1:7" x14ac:dyDescent="0.2">
      <c r="A21" s="29" t="s">
        <v>121</v>
      </c>
      <c r="B21" s="24" t="s">
        <v>122</v>
      </c>
      <c r="C21" s="29"/>
      <c r="D21" s="29"/>
      <c r="E21" s="29"/>
      <c r="F21" s="29"/>
    </row>
    <row r="22" spans="1:7" x14ac:dyDescent="0.2">
      <c r="A22" s="29" t="s">
        <v>123</v>
      </c>
      <c r="B22" s="24" t="s">
        <v>124</v>
      </c>
      <c r="C22" s="29"/>
      <c r="D22" s="29"/>
      <c r="E22" s="29"/>
      <c r="F22" s="29"/>
    </row>
    <row r="23" spans="1:7" x14ac:dyDescent="0.2">
      <c r="A23" s="29"/>
      <c r="B23" s="24" t="s">
        <v>125</v>
      </c>
      <c r="C23" s="29"/>
      <c r="D23" s="29"/>
      <c r="E23" s="29"/>
      <c r="F23" s="29"/>
    </row>
    <row r="24" spans="1:7" x14ac:dyDescent="0.2">
      <c r="A24" s="29" t="s">
        <v>126</v>
      </c>
      <c r="B24" s="24" t="s">
        <v>127</v>
      </c>
      <c r="C24" s="29"/>
      <c r="D24" s="29"/>
      <c r="E24" s="29"/>
      <c r="F24" s="29"/>
    </row>
    <row r="25" spans="1:7" x14ac:dyDescent="0.2">
      <c r="A25" s="29"/>
      <c r="B25" s="24" t="s">
        <v>128</v>
      </c>
      <c r="C25" s="29"/>
      <c r="D25" s="29"/>
      <c r="E25" s="29"/>
      <c r="F25" s="29"/>
    </row>
    <row r="26" spans="1:7" x14ac:dyDescent="0.2">
      <c r="A26" s="29" t="s">
        <v>129</v>
      </c>
      <c r="B26" s="24" t="s">
        <v>130</v>
      </c>
      <c r="C26" s="29"/>
      <c r="D26" s="29"/>
      <c r="E26" s="29"/>
      <c r="F26" s="29"/>
    </row>
    <row r="27" spans="1:7" x14ac:dyDescent="0.2">
      <c r="A27" s="29"/>
      <c r="B27" s="24" t="s">
        <v>159</v>
      </c>
      <c r="C27" s="29"/>
      <c r="D27" s="29"/>
      <c r="E27" s="29"/>
      <c r="F27" s="29"/>
    </row>
    <row r="28" spans="1:7" x14ac:dyDescent="0.2">
      <c r="A28" s="29" t="s">
        <v>160</v>
      </c>
      <c r="B28" s="24" t="s">
        <v>161</v>
      </c>
      <c r="C28" s="29"/>
      <c r="D28" s="29"/>
      <c r="E28" s="29"/>
      <c r="F28" s="29"/>
    </row>
    <row r="29" spans="1:7" x14ac:dyDescent="0.2">
      <c r="A29" s="29" t="s">
        <v>132</v>
      </c>
      <c r="B29" s="24" t="s">
        <v>133</v>
      </c>
      <c r="C29" s="29"/>
      <c r="D29" s="29"/>
      <c r="E29" s="29"/>
      <c r="F29" s="29"/>
    </row>
    <row r="30" spans="1:7" x14ac:dyDescent="0.2">
      <c r="A30" s="29" t="s">
        <v>134</v>
      </c>
      <c r="B30" s="24" t="s">
        <v>135</v>
      </c>
      <c r="C30" s="29"/>
      <c r="D30" s="29"/>
      <c r="E30" s="29"/>
      <c r="F30" s="29"/>
    </row>
    <row r="31" spans="1:7" x14ac:dyDescent="0.2">
      <c r="A31" s="29" t="s">
        <v>136</v>
      </c>
      <c r="B31" s="24" t="s">
        <v>137</v>
      </c>
      <c r="C31" s="29"/>
      <c r="D31" s="29"/>
      <c r="E31" s="29"/>
      <c r="F31" s="29"/>
    </row>
    <row r="32" spans="1:7" x14ac:dyDescent="0.2">
      <c r="A32" s="29"/>
      <c r="B32" s="24" t="s">
        <v>162</v>
      </c>
      <c r="C32" s="29"/>
      <c r="D32" s="29"/>
      <c r="E32" s="29"/>
      <c r="F32" s="29"/>
    </row>
    <row r="33" spans="1:7" x14ac:dyDescent="0.2">
      <c r="A33" s="29"/>
      <c r="C33" s="29"/>
      <c r="D33" s="29"/>
      <c r="E33" s="29"/>
      <c r="F33" s="29"/>
    </row>
    <row r="34" spans="1:7" x14ac:dyDescent="0.2">
      <c r="A34" s="29"/>
      <c r="C34" s="29"/>
      <c r="D34" s="29"/>
      <c r="E34" s="29"/>
      <c r="F34" s="29"/>
    </row>
    <row r="35" spans="1:7" x14ac:dyDescent="0.2">
      <c r="A35" s="25" t="s">
        <v>14</v>
      </c>
      <c r="B35" s="25"/>
      <c r="C35" s="25"/>
      <c r="D35" s="25"/>
      <c r="E35" s="25"/>
      <c r="F35" s="25"/>
      <c r="G35" s="25"/>
    </row>
    <row r="37" spans="1:7" s="29" customFormat="1" x14ac:dyDescent="0.2">
      <c r="A37" s="29" t="s">
        <v>25</v>
      </c>
      <c r="B37" s="29" t="s">
        <v>38</v>
      </c>
      <c r="C37" s="29" t="s">
        <v>2</v>
      </c>
      <c r="D37" s="30" t="s">
        <v>9</v>
      </c>
      <c r="E37" s="30" t="s">
        <v>3</v>
      </c>
      <c r="F37" s="30" t="s">
        <v>4</v>
      </c>
      <c r="G37" s="30" t="s">
        <v>16</v>
      </c>
    </row>
    <row r="38" spans="1:7" x14ac:dyDescent="0.2">
      <c r="A38" s="24" t="str">
        <f>MatP8815C0Colour</f>
        <v>Not Specified</v>
      </c>
      <c r="B38" s="24" t="str">
        <f>IF(MatP8815C0Code=0,"",MatP8815C0Code)</f>
        <v/>
      </c>
      <c r="C38" s="24" t="str">
        <f>MatP8815C0Desc</f>
        <v>TLE Tile</v>
      </c>
      <c r="D38" s="31">
        <v>893</v>
      </c>
      <c r="E38" s="32">
        <f>MatP8815C0Price</f>
        <v>1.2</v>
      </c>
      <c r="F38" s="33" t="str">
        <f>MatP8815C0PerText</f>
        <v>Each</v>
      </c>
      <c r="G38" s="32">
        <f t="shared" ref="G38:G57" si="0">D38 * E38</f>
        <v>1071.5999999999999</v>
      </c>
    </row>
    <row r="39" spans="1:7" x14ac:dyDescent="0.2">
      <c r="A39" s="24" t="str">
        <f>MatP8870C0Colour</f>
        <v>Not Specified</v>
      </c>
      <c r="B39" s="24" t="str">
        <f>IF(MatP8870C0Code=0,"",MatP8870C0Code)</f>
        <v/>
      </c>
      <c r="C39" s="24" t="str">
        <f>MatP8870C0Desc</f>
        <v>Ridge Tile (450mm)</v>
      </c>
      <c r="D39" s="31">
        <v>29</v>
      </c>
      <c r="E39" s="32">
        <f>MatP8870C0Price</f>
        <v>3.64</v>
      </c>
      <c r="F39" s="33" t="str">
        <f>MatP8870C0PerText</f>
        <v>Each</v>
      </c>
      <c r="G39" s="32">
        <f t="shared" si="0"/>
        <v>105.56</v>
      </c>
    </row>
    <row r="40" spans="1:7" x14ac:dyDescent="0.2">
      <c r="A40" s="24" t="str">
        <f>MatP10135C0Colour</f>
        <v>Not Specified</v>
      </c>
      <c r="B40" s="24" t="str">
        <f>IF(MatP10135C0Code=0,"",MatP10135C0Code)</f>
        <v/>
      </c>
      <c r="C40" s="24" t="str">
        <f>MatP10135C0Desc</f>
        <v>VP300 Vapour Permeable Underlay (50m x 1m)</v>
      </c>
      <c r="D40" s="31">
        <v>3</v>
      </c>
      <c r="E40" s="32">
        <f>MatP10135C0Price</f>
        <v>35</v>
      </c>
      <c r="F40" s="33" t="str">
        <f>MatP10135C0PerText</f>
        <v>Roll</v>
      </c>
      <c r="G40" s="32">
        <f t="shared" si="0"/>
        <v>105</v>
      </c>
    </row>
    <row r="41" spans="1:7" x14ac:dyDescent="0.2">
      <c r="A41" s="24" t="str">
        <f>MatP9008C0Colour</f>
        <v>Not Specified</v>
      </c>
      <c r="B41" s="24" t="str">
        <f>IF(MatP9008C0Code=0,"",MatP9008C0Code)</f>
        <v/>
      </c>
      <c r="C41" s="24" t="str">
        <f>MatP9008C0Desc</f>
        <v>Battens (50mm x 25mm)</v>
      </c>
      <c r="D41" s="31">
        <v>319</v>
      </c>
      <c r="E41" s="32">
        <f>MatP9008C0Price</f>
        <v>0.9</v>
      </c>
      <c r="F41" s="33" t="str">
        <f>MatP9008C0PerText</f>
        <v>Metre</v>
      </c>
      <c r="G41" s="32">
        <f t="shared" si="0"/>
        <v>287.10000000000002</v>
      </c>
    </row>
    <row r="42" spans="1:7" x14ac:dyDescent="0.2">
      <c r="A42" s="24" t="str">
        <f>MatP8879C15Colour</f>
        <v>Not Specified</v>
      </c>
      <c r="B42" s="24" t="str">
        <f>IF(MatP8879C15Code=0,"",MatP8879C15Code)</f>
        <v/>
      </c>
      <c r="C42" s="24" t="str">
        <f>MatP8879C15Desc</f>
        <v>Universal Dry Ridge/Hip System (6m)</v>
      </c>
      <c r="D42" s="31">
        <v>3</v>
      </c>
      <c r="E42" s="32">
        <f>MatP8879C15Price</f>
        <v>28.09</v>
      </c>
      <c r="F42" s="33" t="str">
        <f>MatP8879C15PerText</f>
        <v>Pack</v>
      </c>
      <c r="G42" s="32">
        <f t="shared" si="0"/>
        <v>84.27</v>
      </c>
    </row>
    <row r="43" spans="1:7" x14ac:dyDescent="0.2">
      <c r="A43" s="24" t="str">
        <f>MatP8857C0Colour</f>
        <v>Not Specified</v>
      </c>
      <c r="B43" s="24" t="str">
        <f>IF(MatP8857C0Code=0,"",MatP8857C0Code)</f>
        <v/>
      </c>
      <c r="C43" s="24" t="str">
        <f>MatP8857C0Desc</f>
        <v>LH Uni-Fix Dry Verge Unit</v>
      </c>
      <c r="D43" s="31">
        <v>76</v>
      </c>
      <c r="E43" s="32">
        <f>MatP8857C0Price</f>
        <v>1.1000000000000001</v>
      </c>
      <c r="F43" s="33" t="str">
        <f>MatP8857C0PerText</f>
        <v>Each</v>
      </c>
      <c r="G43" s="32">
        <f t="shared" si="0"/>
        <v>83.600000000000009</v>
      </c>
    </row>
    <row r="44" spans="1:7" x14ac:dyDescent="0.2">
      <c r="A44" s="24" t="str">
        <f>MatP8869C0Colour</f>
        <v>Not Specified</v>
      </c>
      <c r="B44" s="24" t="str">
        <f>IF(MatP8869C0Code=0,"",MatP8869C0Code)</f>
        <v/>
      </c>
      <c r="C44" s="24" t="str">
        <f>MatP8869C0Desc</f>
        <v>RH Uni-Fix Dry Verge Unit</v>
      </c>
      <c r="D44" s="31">
        <v>76</v>
      </c>
      <c r="E44" s="32">
        <f>MatP8869C0Price</f>
        <v>1.1000000000000001</v>
      </c>
      <c r="F44" s="33" t="str">
        <f>MatP8869C0PerText</f>
        <v>Each</v>
      </c>
      <c r="G44" s="32">
        <f t="shared" si="0"/>
        <v>83.600000000000009</v>
      </c>
    </row>
    <row r="45" spans="1:7" x14ac:dyDescent="0.2">
      <c r="A45" s="24" t="str">
        <f>MatP8877C0Colour</f>
        <v>Not Specified</v>
      </c>
      <c r="B45" s="24" t="str">
        <f>IF(MatP8877C0Code=0,"",MatP8877C0Code)</f>
        <v/>
      </c>
      <c r="C45" s="24" t="str">
        <f>MatP8877C0Desc</f>
        <v>Uni-Fix Universal Ridge End Cap</v>
      </c>
      <c r="D45" s="31">
        <v>3</v>
      </c>
      <c r="E45" s="32">
        <f>MatP8877C0Price</f>
        <v>1.6</v>
      </c>
      <c r="F45" s="33" t="str">
        <f>MatP8877C0PerText</f>
        <v>Each</v>
      </c>
      <c r="G45" s="32">
        <f t="shared" si="0"/>
        <v>4.8000000000000007</v>
      </c>
    </row>
    <row r="46" spans="1:7" x14ac:dyDescent="0.2">
      <c r="A46" s="24" t="str">
        <f>MatP8830C20Colour</f>
        <v>Not Specified</v>
      </c>
      <c r="B46" s="24" t="str">
        <f>IF(MatP8830C20Code=0,"",MatP8830C20Code)</f>
        <v/>
      </c>
      <c r="C46" s="24" t="str">
        <f>MatP8830C20Desc</f>
        <v>Dry Verge Starter Unit</v>
      </c>
      <c r="D46" s="31">
        <v>5</v>
      </c>
      <c r="E46" s="32">
        <f>MatP8830C20Price</f>
        <v>1.51</v>
      </c>
      <c r="F46" s="33" t="str">
        <f>MatP8830C20PerText</f>
        <v>Each</v>
      </c>
      <c r="G46" s="32">
        <f t="shared" si="0"/>
        <v>7.55</v>
      </c>
    </row>
    <row r="47" spans="1:7" x14ac:dyDescent="0.2">
      <c r="A47" s="24" t="str">
        <f>MatP8820C20Colour</f>
        <v>Not Specified</v>
      </c>
      <c r="B47" s="24" t="str">
        <f>IF(MatP8820C20Code=0,"",MatP8820C20Code)</f>
        <v/>
      </c>
      <c r="C47" s="24" t="str">
        <f>MatP8820C20Desc</f>
        <v>10mm Over Fascia Vent (1m)</v>
      </c>
      <c r="D47" s="31">
        <v>14</v>
      </c>
      <c r="E47" s="32">
        <f>MatP8820C20Price</f>
        <v>1.7</v>
      </c>
      <c r="F47" s="33" t="str">
        <f>MatP8820C20PerText</f>
        <v>Each</v>
      </c>
      <c r="G47" s="32">
        <f t="shared" si="0"/>
        <v>23.8</v>
      </c>
    </row>
    <row r="48" spans="1:7" x14ac:dyDescent="0.2">
      <c r="A48" s="24" t="str">
        <f>MatP8281C0Colour</f>
        <v>Not Specified</v>
      </c>
      <c r="B48" s="24" t="str">
        <f>IF(MatP8281C0Code=0,"",MatP8281C0Code)</f>
        <v/>
      </c>
      <c r="C48" s="24" t="str">
        <f>MatP8281C0Desc</f>
        <v>Generic Eave Insulation (1m)</v>
      </c>
      <c r="D48" s="31">
        <v>14</v>
      </c>
      <c r="E48" s="32">
        <f>MatP8281C0Price</f>
        <v>5</v>
      </c>
      <c r="F48" s="33" t="str">
        <f>MatP8281C0PerText</f>
        <v>Each</v>
      </c>
      <c r="G48" s="32">
        <f t="shared" si="0"/>
        <v>70</v>
      </c>
    </row>
    <row r="49" spans="1:7" x14ac:dyDescent="0.2">
      <c r="A49" s="24" t="str">
        <f>MatP8866C20Colour</f>
        <v>Not Specified</v>
      </c>
      <c r="B49" s="24" t="str">
        <f>IF(MatP8866C20Code=0,"",MatP8866C20Code)</f>
        <v/>
      </c>
      <c r="C49" s="24" t="str">
        <f>MatP8866C20Desc</f>
        <v>Rafter Roll (6m x 600mm)</v>
      </c>
      <c r="D49" s="31">
        <v>3</v>
      </c>
      <c r="E49" s="32">
        <f>MatP8866C20Price</f>
        <v>9.5</v>
      </c>
      <c r="F49" s="33" t="str">
        <f>MatP8866C20PerText</f>
        <v>Each</v>
      </c>
      <c r="G49" s="32">
        <f t="shared" si="0"/>
        <v>28.5</v>
      </c>
    </row>
    <row r="50" spans="1:7" x14ac:dyDescent="0.2">
      <c r="A50" s="24" t="str">
        <f>MatP8874C20Colour</f>
        <v>Not Specified</v>
      </c>
      <c r="B50" s="24" t="str">
        <f>IF(MatP8874C20Code=0,"",MatP8874C20Code)</f>
        <v/>
      </c>
      <c r="C50" s="24" t="str">
        <f>MatP8874C20Desc</f>
        <v>Underlay Support Tray (1.5m)</v>
      </c>
      <c r="D50" s="31">
        <v>10</v>
      </c>
      <c r="E50" s="32">
        <f>MatP8874C20Price</f>
        <v>1.5</v>
      </c>
      <c r="F50" s="33" t="str">
        <f>MatP8874C20PerText</f>
        <v>Each</v>
      </c>
      <c r="G50" s="32">
        <f t="shared" si="0"/>
        <v>15</v>
      </c>
    </row>
    <row r="51" spans="1:7" x14ac:dyDescent="0.2">
      <c r="A51" s="24" t="str">
        <f>MatP8838C92Colour</f>
        <v>Not Specified</v>
      </c>
      <c r="B51" s="24" t="str">
        <f>IF(MatP8838C92Code=0,"",MatP8838C92Code)</f>
        <v/>
      </c>
      <c r="C51" s="24" t="str">
        <f>MatP8838C92Desc</f>
        <v>GRP Dry Fix Valley Trough - Over Batten Fix (3m x 400mm x 70mm)</v>
      </c>
      <c r="D51" s="31">
        <v>4</v>
      </c>
      <c r="E51" s="32">
        <f>MatP8838C92Price</f>
        <v>32.5</v>
      </c>
      <c r="F51" s="33" t="str">
        <f>MatP8838C92PerText</f>
        <v>Each</v>
      </c>
      <c r="G51" s="32">
        <f t="shared" si="0"/>
        <v>130</v>
      </c>
    </row>
    <row r="52" spans="1:7" x14ac:dyDescent="0.2">
      <c r="A52" s="24" t="str">
        <f>MatP8872C539Colour</f>
        <v>Not Specified</v>
      </c>
      <c r="B52" s="24" t="str">
        <f>IF(MatP8872C539Code=0,"",MatP8872C539Code)</f>
        <v/>
      </c>
      <c r="C52" s="24" t="str">
        <f>MatP8872C539Desc</f>
        <v>Sidelock Tile Clips (TLE)</v>
      </c>
      <c r="D52" s="31">
        <v>306</v>
      </c>
      <c r="E52" s="32">
        <f>MatP8872C539Price</f>
        <v>7.0000000000000007E-2</v>
      </c>
      <c r="F52" s="33" t="str">
        <f>MatP8872C539PerText</f>
        <v>Each</v>
      </c>
      <c r="G52" s="32">
        <f t="shared" si="0"/>
        <v>21.42</v>
      </c>
    </row>
    <row r="53" spans="1:7" x14ac:dyDescent="0.2">
      <c r="A53" s="24" t="str">
        <f>MatP8826C539Colour</f>
        <v>Not Specified</v>
      </c>
      <c r="B53" s="24" t="str">
        <f>IF(MatP8826C539Code=0,"",MatP8826C539Code)</f>
        <v/>
      </c>
      <c r="C53" s="24" t="str">
        <f>MatP8826C539Desc</f>
        <v>Metal Batten End Clips</v>
      </c>
      <c r="D53" s="31">
        <v>76</v>
      </c>
      <c r="E53" s="32">
        <f>MatP8826C539Price</f>
        <v>0.28000000000000003</v>
      </c>
      <c r="F53" s="33" t="str">
        <f>MatP8826C539PerText</f>
        <v>Each</v>
      </c>
      <c r="G53" s="32">
        <f t="shared" si="0"/>
        <v>21.28</v>
      </c>
    </row>
    <row r="54" spans="1:7" x14ac:dyDescent="0.2">
      <c r="A54" s="24" t="str">
        <f>MatP8831C539Colour</f>
        <v>Not Specified</v>
      </c>
      <c r="B54" s="24" t="str">
        <f>IF(MatP8831C539Code=0,"",MatP8831C539Code)</f>
        <v/>
      </c>
      <c r="C54" s="24" t="str">
        <f>MatP8831C539Desc</f>
        <v>Eave Clip</v>
      </c>
      <c r="D54" s="31">
        <v>48</v>
      </c>
      <c r="E54" s="32">
        <f>MatP8831C539Price</f>
        <v>0.1</v>
      </c>
      <c r="F54" s="33" t="str">
        <f>MatP8831C539PerText</f>
        <v>Each</v>
      </c>
      <c r="G54" s="32">
        <f t="shared" si="0"/>
        <v>4.8000000000000007</v>
      </c>
    </row>
    <row r="55" spans="1:7" x14ac:dyDescent="0.2">
      <c r="A55" s="24" t="str">
        <f>MatP9318C0Colour</f>
        <v>Not Specified</v>
      </c>
      <c r="B55" s="24" t="str">
        <f>IF(MatP9318C0Code=0,"",MatP9318C0Code)</f>
        <v/>
      </c>
      <c r="C55" s="24" t="str">
        <f>MatP9318C0Desc</f>
        <v>45mm x 3.35mm Aluminium Nails</v>
      </c>
      <c r="D55" s="31">
        <v>2.9999998807907104</v>
      </c>
      <c r="E55" s="32">
        <f>MatP9318C0Price</f>
        <v>7.28</v>
      </c>
      <c r="F55" s="33" t="str">
        <f>MatP9318C0PerText</f>
        <v>Kg</v>
      </c>
      <c r="G55" s="32">
        <f t="shared" si="0"/>
        <v>21.839999132156372</v>
      </c>
    </row>
    <row r="56" spans="1:7" x14ac:dyDescent="0.2">
      <c r="A56" s="24" t="str">
        <f>MatP9100C0Colour</f>
        <v>Not Specified</v>
      </c>
      <c r="B56" s="24" t="str">
        <f>IF(MatP9100C0Code=0,"",MatP9100C0Code)</f>
        <v/>
      </c>
      <c r="C56" s="24" t="str">
        <f>MatP9100C0Desc</f>
        <v>Batten Nails - 65mm x 3.35mm Galvanised</v>
      </c>
      <c r="D56" s="31">
        <v>3</v>
      </c>
      <c r="E56" s="32">
        <f>MatP9100C0Price</f>
        <v>4.5</v>
      </c>
      <c r="F56" s="33" t="str">
        <f>MatP9100C0PerText</f>
        <v>Kg</v>
      </c>
      <c r="G56" s="32">
        <f t="shared" si="0"/>
        <v>13.5</v>
      </c>
    </row>
    <row r="57" spans="1:7" x14ac:dyDescent="0.2">
      <c r="A57" s="24" t="str">
        <f>MatLeadValleySaddleColour</f>
        <v>Not Specified</v>
      </c>
      <c r="B57" s="24" t="str">
        <f>IF(MatLeadValleySaddleCode=0,"",MatLeadValleySaddleCode)</f>
        <v/>
      </c>
      <c r="C57" s="24" t="str">
        <f>MatLeadValleySaddleDesc</f>
        <v>Lead Valley Saddle</v>
      </c>
      <c r="D57" s="31">
        <v>1</v>
      </c>
      <c r="E57" s="32">
        <f>MatLeadValleySaddlePrice</f>
        <v>15</v>
      </c>
      <c r="F57" s="33" t="str">
        <f>MatLeadValleySaddlePerText</f>
        <v>Each</v>
      </c>
      <c r="G57" s="32">
        <f t="shared" si="0"/>
        <v>15</v>
      </c>
    </row>
    <row r="58" spans="1:7" x14ac:dyDescent="0.2">
      <c r="D58" s="31"/>
      <c r="E58" s="32"/>
      <c r="F58" s="33"/>
      <c r="G58" s="32"/>
    </row>
    <row r="59" spans="1:7" x14ac:dyDescent="0.2">
      <c r="F59" s="34" t="s">
        <v>5</v>
      </c>
      <c r="G59" s="35">
        <f>SUM(G38:G58)</f>
        <v>2198.2199991321559</v>
      </c>
    </row>
    <row r="60" spans="1:7" x14ac:dyDescent="0.2">
      <c r="G60" s="34"/>
    </row>
    <row r="61" spans="1:7" x14ac:dyDescent="0.2">
      <c r="A61" s="25" t="s">
        <v>15</v>
      </c>
      <c r="B61" s="25"/>
      <c r="D61" s="25"/>
      <c r="E61" s="25"/>
      <c r="F61" s="25"/>
      <c r="G61" s="25"/>
    </row>
    <row r="63" spans="1:7" x14ac:dyDescent="0.2">
      <c r="A63" s="102" t="s">
        <v>6</v>
      </c>
      <c r="B63" s="102"/>
      <c r="C63" s="102"/>
      <c r="D63" s="34" t="s">
        <v>7</v>
      </c>
      <c r="E63" s="34" t="s">
        <v>9</v>
      </c>
      <c r="F63" s="34" t="s">
        <v>8</v>
      </c>
      <c r="G63" s="34" t="s">
        <v>16</v>
      </c>
    </row>
    <row r="64" spans="1:7" x14ac:dyDescent="0.2">
      <c r="A64" s="103" t="str">
        <f>LabP8815R6L1G1Desc</f>
        <v>Main Area</v>
      </c>
      <c r="B64" s="103"/>
      <c r="C64" s="103"/>
      <c r="D64" s="36">
        <f>LabP8815R6L1G1Rate</f>
        <v>9</v>
      </c>
      <c r="E64" s="37">
        <f>'ROS-Main Roof'!Area</f>
        <v>84.65</v>
      </c>
      <c r="F64" s="27" t="str">
        <f xml:space="preserve"> "" &amp; LabP8815R6L1G1Per</f>
        <v>m²</v>
      </c>
      <c r="G64" s="36">
        <f>D64 * E64</f>
        <v>761.85</v>
      </c>
    </row>
    <row r="65" spans="1:7" x14ac:dyDescent="0.2">
      <c r="A65" s="24" t="str">
        <f>LabP8815R0L1G2Desc</f>
        <v>Eave</v>
      </c>
      <c r="D65" s="36">
        <f>LabP8815R0L1G2Rate</f>
        <v>2.5</v>
      </c>
      <c r="E65" s="37">
        <f>'ROS-Main Roof'!Eave</f>
        <v>13.6</v>
      </c>
      <c r="F65" s="27" t="str">
        <f xml:space="preserve"> "" &amp; LabP8815R0L1G2Per</f>
        <v>m</v>
      </c>
      <c r="G65" s="36">
        <f>D65 * E65</f>
        <v>34</v>
      </c>
    </row>
    <row r="66" spans="1:7" x14ac:dyDescent="0.2">
      <c r="A66" s="24" t="str">
        <f>LabP8815R0L1G3Desc</f>
        <v>Verge</v>
      </c>
      <c r="D66" s="36">
        <f>LabP8815R0L1G3Rate</f>
        <v>2.5</v>
      </c>
      <c r="E66" s="37">
        <f>LeftVerge+RightVerge</f>
        <v>25.34</v>
      </c>
      <c r="F66" s="27" t="str">
        <f xml:space="preserve"> "" &amp; LabP8815R0L1G3Per</f>
        <v>m</v>
      </c>
      <c r="G66" s="36">
        <f>D66 * E66</f>
        <v>63.35</v>
      </c>
    </row>
    <row r="67" spans="1:7" x14ac:dyDescent="0.2">
      <c r="A67" s="24" t="str">
        <f>LabP8815R15L1G7Desc</f>
        <v>Valley</v>
      </c>
      <c r="D67" s="36">
        <f>LabP8815R15L1G7Rate</f>
        <v>15</v>
      </c>
      <c r="E67" s="37">
        <f>'ROS-Main Roof'!Valley</f>
        <v>9.2200000000000006</v>
      </c>
      <c r="F67" s="27" t="str">
        <f xml:space="preserve"> "" &amp; LabP8815R15L1G7Per</f>
        <v>m</v>
      </c>
      <c r="G67" s="36">
        <f>D67 * E67</f>
        <v>138.30000000000001</v>
      </c>
    </row>
    <row r="68" spans="1:7" x14ac:dyDescent="0.2">
      <c r="A68" s="24" t="str">
        <f>LabP8815R0L1G8Desc</f>
        <v>Duo Ridge</v>
      </c>
      <c r="D68" s="36">
        <f>LabP8815R0L1G8Rate</f>
        <v>2.5</v>
      </c>
      <c r="E68" s="37">
        <f>'ROS-Main Roof'!DuoRidge</f>
        <v>12.52</v>
      </c>
      <c r="F68" s="27" t="str">
        <f xml:space="preserve"> "" &amp; LabP8815R0L1G8Per</f>
        <v>m</v>
      </c>
      <c r="G68" s="36">
        <f>D68 * E68</f>
        <v>31.299999999999997</v>
      </c>
    </row>
    <row r="69" spans="1:7" x14ac:dyDescent="0.2">
      <c r="D69" s="36"/>
      <c r="E69" s="37"/>
      <c r="F69" s="27"/>
      <c r="G69" s="36"/>
    </row>
    <row r="70" spans="1:7" x14ac:dyDescent="0.2">
      <c r="A70" s="103"/>
      <c r="B70" s="103"/>
      <c r="C70" s="103"/>
      <c r="D70" s="36"/>
      <c r="E70" s="37"/>
      <c r="G70" s="36"/>
    </row>
    <row r="71" spans="1:7" x14ac:dyDescent="0.2">
      <c r="F71" s="34" t="s">
        <v>5</v>
      </c>
      <c r="G71" s="35">
        <f>SUM(G64:G70)</f>
        <v>1028.8</v>
      </c>
    </row>
    <row r="75" spans="1:7" x14ac:dyDescent="0.2">
      <c r="A75" s="34"/>
      <c r="B75" s="38"/>
    </row>
    <row r="77" spans="1:7" x14ac:dyDescent="0.2">
      <c r="A77" s="34"/>
      <c r="B77" s="38"/>
    </row>
    <row r="79" spans="1:7" x14ac:dyDescent="0.2">
      <c r="A79" s="34"/>
      <c r="B79" s="38"/>
    </row>
    <row r="81" spans="1:3" x14ac:dyDescent="0.2">
      <c r="A81" s="34"/>
      <c r="B81" s="38"/>
    </row>
    <row r="84" spans="1:3" x14ac:dyDescent="0.2">
      <c r="A84" s="34"/>
      <c r="B84" s="38"/>
      <c r="C84" s="39"/>
    </row>
    <row r="86" spans="1:3" x14ac:dyDescent="0.2">
      <c r="A86" s="34"/>
      <c r="B86" s="38"/>
    </row>
    <row r="88" spans="1:3" x14ac:dyDescent="0.2">
      <c r="A88" s="34"/>
      <c r="B88" s="38"/>
      <c r="C88" s="39"/>
    </row>
    <row r="90" spans="1:3" x14ac:dyDescent="0.2">
      <c r="A90" s="34"/>
      <c r="B90" s="38"/>
    </row>
    <row r="92" spans="1:3" x14ac:dyDescent="0.2">
      <c r="A92" s="34"/>
      <c r="B92" s="38"/>
    </row>
    <row r="95" spans="1:3" x14ac:dyDescent="0.2">
      <c r="A95" s="34"/>
      <c r="B95" s="38"/>
    </row>
    <row r="97" spans="1:3" x14ac:dyDescent="0.2">
      <c r="A97" s="34"/>
      <c r="B97" s="38"/>
    </row>
    <row r="99" spans="1:3" x14ac:dyDescent="0.2">
      <c r="A99" s="34"/>
      <c r="B99" s="38"/>
      <c r="C99" s="39"/>
    </row>
    <row r="102" spans="1:3" x14ac:dyDescent="0.2">
      <c r="A102" s="34"/>
      <c r="B102" s="40"/>
      <c r="C102" s="23"/>
    </row>
    <row r="105" spans="1:3" x14ac:dyDescent="0.2">
      <c r="A105" s="39"/>
      <c r="B105" s="41"/>
    </row>
  </sheetData>
  <mergeCells count="5">
    <mergeCell ref="B4:F4"/>
    <mergeCell ref="B5:F5"/>
    <mergeCell ref="A63:C63"/>
    <mergeCell ref="A64:C64"/>
    <mergeCell ref="A70:C70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061B9-AD10-4F47-B5AE-184D32719F5C}">
  <dimension ref="A1:G101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196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156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2.1</v>
      </c>
      <c r="C9" s="23"/>
      <c r="D9" s="26"/>
    </row>
    <row r="10" spans="1:7" x14ac:dyDescent="0.2">
      <c r="A10" s="23" t="s">
        <v>114</v>
      </c>
      <c r="B10" s="24">
        <v>1.8</v>
      </c>
      <c r="C10" s="23"/>
      <c r="D10" s="26"/>
    </row>
    <row r="11" spans="1:7" x14ac:dyDescent="0.2">
      <c r="A11" s="23" t="s">
        <v>115</v>
      </c>
      <c r="B11" s="24">
        <v>1.17</v>
      </c>
      <c r="C11" s="23"/>
      <c r="D11" s="26"/>
    </row>
    <row r="12" spans="1:7" x14ac:dyDescent="0.2">
      <c r="A12" s="23" t="s">
        <v>116</v>
      </c>
      <c r="B12" s="24">
        <v>1.17</v>
      </c>
      <c r="C12" s="23"/>
      <c r="D12" s="26"/>
    </row>
    <row r="13" spans="1:7" x14ac:dyDescent="0.2">
      <c r="A13" s="23" t="s">
        <v>117</v>
      </c>
      <c r="B13" s="24">
        <v>0.9</v>
      </c>
      <c r="C13" s="23"/>
      <c r="D13" s="26"/>
    </row>
    <row r="14" spans="1:7" x14ac:dyDescent="0.2">
      <c r="A14" s="23" t="s">
        <v>153</v>
      </c>
      <c r="B14" s="24">
        <v>2.34</v>
      </c>
      <c r="C14" s="23"/>
      <c r="D14" s="26"/>
    </row>
    <row r="15" spans="1:7" x14ac:dyDescent="0.2">
      <c r="A15" s="23" t="s">
        <v>119</v>
      </c>
      <c r="B15" s="24">
        <v>600</v>
      </c>
      <c r="C15" s="23"/>
      <c r="D15" s="26"/>
    </row>
    <row r="16" spans="1:7" x14ac:dyDescent="0.2">
      <c r="A16" s="23" t="s">
        <v>120</v>
      </c>
      <c r="B16" s="24">
        <v>40</v>
      </c>
      <c r="C16" s="23"/>
      <c r="D16" s="26"/>
    </row>
    <row r="17" spans="1:7" x14ac:dyDescent="0.2">
      <c r="A17" s="23"/>
      <c r="C17" s="23"/>
      <c r="D17" s="26"/>
    </row>
    <row r="18" spans="1:7" x14ac:dyDescent="0.2">
      <c r="A18" s="23"/>
      <c r="B18" s="27"/>
      <c r="C18" s="23"/>
      <c r="D18" s="26"/>
    </row>
    <row r="19" spans="1:7" x14ac:dyDescent="0.2">
      <c r="A19" s="28" t="s">
        <v>10</v>
      </c>
      <c r="B19" s="28"/>
      <c r="C19" s="28"/>
      <c r="D19" s="28"/>
      <c r="E19" s="28"/>
      <c r="F19" s="28"/>
      <c r="G19" s="28"/>
    </row>
    <row r="20" spans="1:7" x14ac:dyDescent="0.2">
      <c r="A20" s="28"/>
      <c r="B20" s="28"/>
      <c r="C20" s="28"/>
      <c r="D20" s="28"/>
      <c r="E20" s="28"/>
      <c r="F20" s="28"/>
      <c r="G20" s="28"/>
    </row>
    <row r="21" spans="1:7" x14ac:dyDescent="0.2">
      <c r="A21" s="29" t="s">
        <v>121</v>
      </c>
      <c r="B21" s="24" t="s">
        <v>122</v>
      </c>
      <c r="C21" s="29"/>
      <c r="D21" s="29"/>
      <c r="E21" s="29"/>
      <c r="F21" s="29"/>
    </row>
    <row r="22" spans="1:7" x14ac:dyDescent="0.2">
      <c r="A22" s="29" t="s">
        <v>123</v>
      </c>
      <c r="B22" s="24" t="s">
        <v>124</v>
      </c>
      <c r="C22" s="29"/>
      <c r="D22" s="29"/>
      <c r="E22" s="29"/>
      <c r="F22" s="29"/>
    </row>
    <row r="23" spans="1:7" x14ac:dyDescent="0.2">
      <c r="A23" s="29"/>
      <c r="B23" s="24" t="s">
        <v>154</v>
      </c>
      <c r="C23" s="29"/>
      <c r="D23" s="29"/>
      <c r="E23" s="29"/>
      <c r="F23" s="29"/>
    </row>
    <row r="24" spans="1:7" x14ac:dyDescent="0.2">
      <c r="A24" s="29" t="s">
        <v>126</v>
      </c>
      <c r="B24" s="24" t="s">
        <v>127</v>
      </c>
      <c r="C24" s="29"/>
      <c r="D24" s="29"/>
      <c r="E24" s="29"/>
      <c r="F24" s="29"/>
    </row>
    <row r="25" spans="1:7" x14ac:dyDescent="0.2">
      <c r="A25" s="29"/>
      <c r="B25" s="24" t="s">
        <v>67</v>
      </c>
      <c r="C25" s="29"/>
      <c r="D25" s="29"/>
      <c r="E25" s="29"/>
      <c r="F25" s="29"/>
    </row>
    <row r="26" spans="1:7" x14ac:dyDescent="0.2">
      <c r="A26" s="29" t="s">
        <v>129</v>
      </c>
      <c r="B26" s="24" t="s">
        <v>130</v>
      </c>
      <c r="C26" s="29"/>
      <c r="D26" s="29"/>
      <c r="E26" s="29"/>
      <c r="F26" s="29"/>
    </row>
    <row r="27" spans="1:7" x14ac:dyDescent="0.2">
      <c r="A27" s="29"/>
      <c r="B27" s="24" t="s">
        <v>131</v>
      </c>
      <c r="C27" s="29"/>
      <c r="D27" s="29"/>
      <c r="E27" s="29"/>
      <c r="F27" s="29"/>
    </row>
    <row r="28" spans="1:7" x14ac:dyDescent="0.2">
      <c r="A28" s="29" t="s">
        <v>132</v>
      </c>
      <c r="B28" s="24" t="s">
        <v>133</v>
      </c>
      <c r="C28" s="29"/>
      <c r="D28" s="29"/>
      <c r="E28" s="29"/>
      <c r="F28" s="29"/>
    </row>
    <row r="29" spans="1:7" x14ac:dyDescent="0.2">
      <c r="A29" s="29" t="s">
        <v>134</v>
      </c>
      <c r="B29" s="24" t="s">
        <v>135</v>
      </c>
      <c r="C29" s="29"/>
      <c r="D29" s="29"/>
      <c r="E29" s="29"/>
      <c r="F29" s="29"/>
    </row>
    <row r="30" spans="1:7" x14ac:dyDescent="0.2">
      <c r="A30" s="29" t="s">
        <v>143</v>
      </c>
      <c r="B30" s="24" t="s">
        <v>155</v>
      </c>
      <c r="C30" s="29"/>
      <c r="D30" s="29"/>
      <c r="E30" s="29"/>
      <c r="F30" s="29"/>
    </row>
    <row r="31" spans="1:7" x14ac:dyDescent="0.2">
      <c r="A31" s="29"/>
      <c r="C31" s="29"/>
      <c r="D31" s="29"/>
      <c r="E31" s="29"/>
      <c r="F31" s="29"/>
    </row>
    <row r="32" spans="1:7" x14ac:dyDescent="0.2">
      <c r="A32" s="29"/>
      <c r="C32" s="29"/>
      <c r="D32" s="29"/>
      <c r="E32" s="29"/>
      <c r="F32" s="29"/>
    </row>
    <row r="33" spans="1:7" x14ac:dyDescent="0.2">
      <c r="A33" s="25" t="s">
        <v>14</v>
      </c>
      <c r="B33" s="25"/>
      <c r="C33" s="25"/>
      <c r="D33" s="25"/>
      <c r="E33" s="25"/>
      <c r="F33" s="25"/>
      <c r="G33" s="25"/>
    </row>
    <row r="35" spans="1:7" s="29" customFormat="1" x14ac:dyDescent="0.2">
      <c r="A35" s="29" t="s">
        <v>25</v>
      </c>
      <c r="B35" s="29" t="s">
        <v>38</v>
      </c>
      <c r="C35" s="29" t="s">
        <v>2</v>
      </c>
      <c r="D35" s="30" t="s">
        <v>9</v>
      </c>
      <c r="E35" s="30" t="s">
        <v>3</v>
      </c>
      <c r="F35" s="30" t="s">
        <v>4</v>
      </c>
      <c r="G35" s="30" t="s">
        <v>16</v>
      </c>
    </row>
    <row r="36" spans="1:7" x14ac:dyDescent="0.2">
      <c r="A36" s="24" t="str">
        <f>MatP8815C0Colour</f>
        <v>Not Specified</v>
      </c>
      <c r="B36" s="24" t="str">
        <f>IF(MatP8815C0Code=0,"",MatP8815C0Code)</f>
        <v/>
      </c>
      <c r="C36" s="24" t="str">
        <f>MatP8815C0Desc</f>
        <v>TLE Tile</v>
      </c>
      <c r="D36" s="31">
        <v>25</v>
      </c>
      <c r="E36" s="32">
        <f>MatP8815C0Price</f>
        <v>1.2</v>
      </c>
      <c r="F36" s="33" t="str">
        <f>MatP8815C0PerText</f>
        <v>Each</v>
      </c>
      <c r="G36" s="32">
        <f t="shared" ref="G36:G51" si="0">D36 * E36</f>
        <v>30</v>
      </c>
    </row>
    <row r="37" spans="1:7" x14ac:dyDescent="0.2">
      <c r="A37" s="24" t="str">
        <f>MatP8870C0Colour</f>
        <v>Not Specified</v>
      </c>
      <c r="B37" s="24" t="str">
        <f>IF(MatP8870C0Code=0,"",MatP8870C0Code)</f>
        <v/>
      </c>
      <c r="C37" s="24" t="str">
        <f>MatP8870C0Desc</f>
        <v>Ridge Tile (450mm)</v>
      </c>
      <c r="D37" s="31">
        <v>2</v>
      </c>
      <c r="E37" s="32">
        <f>MatP8870C0Price</f>
        <v>3.64</v>
      </c>
      <c r="F37" s="33" t="str">
        <f>MatP8870C0PerText</f>
        <v>Each</v>
      </c>
      <c r="G37" s="32">
        <f t="shared" si="0"/>
        <v>7.28</v>
      </c>
    </row>
    <row r="38" spans="1:7" x14ac:dyDescent="0.2">
      <c r="A38" s="24" t="str">
        <f>MatP9008C0Colour</f>
        <v>Not Specified</v>
      </c>
      <c r="B38" s="24" t="str">
        <f>IF(MatP9008C0Code=0,"",MatP9008C0Code)</f>
        <v/>
      </c>
      <c r="C38" s="24" t="str">
        <f>MatP9008C0Desc</f>
        <v>Battens (50mm x 25mm)</v>
      </c>
      <c r="D38" s="31">
        <v>9</v>
      </c>
      <c r="E38" s="32">
        <f>MatP9008C0Price</f>
        <v>0.9</v>
      </c>
      <c r="F38" s="33" t="str">
        <f>MatP9008C0PerText</f>
        <v>Metre</v>
      </c>
      <c r="G38" s="32">
        <f t="shared" si="0"/>
        <v>8.1</v>
      </c>
    </row>
    <row r="39" spans="1:7" x14ac:dyDescent="0.2">
      <c r="A39" s="24" t="str">
        <f>MatP8879C15Colour</f>
        <v>Not Specified</v>
      </c>
      <c r="B39" s="24" t="str">
        <f>IF(MatP8879C15Code=0,"",MatP8879C15Code)</f>
        <v/>
      </c>
      <c r="C39" s="24" t="str">
        <f>MatP8879C15Desc</f>
        <v>Universal Dry Ridge/Hip System (6m)</v>
      </c>
      <c r="D39" s="31">
        <v>1</v>
      </c>
      <c r="E39" s="32">
        <f>MatP8879C15Price</f>
        <v>28.09</v>
      </c>
      <c r="F39" s="33" t="str">
        <f>MatP8879C15PerText</f>
        <v>Pack</v>
      </c>
      <c r="G39" s="32">
        <f t="shared" si="0"/>
        <v>28.09</v>
      </c>
    </row>
    <row r="40" spans="1:7" x14ac:dyDescent="0.2">
      <c r="A40" s="24" t="str">
        <f>MatP8857C0Colour</f>
        <v>Not Specified</v>
      </c>
      <c r="B40" s="24" t="str">
        <f>IF(MatP8857C0Code=0,"",MatP8857C0Code)</f>
        <v/>
      </c>
      <c r="C40" s="24" t="str">
        <f>MatP8857C0Desc</f>
        <v>LH Uni-Fix Dry Verge Unit</v>
      </c>
      <c r="D40" s="31">
        <v>8</v>
      </c>
      <c r="E40" s="32">
        <f>MatP8857C0Price</f>
        <v>1.1000000000000001</v>
      </c>
      <c r="F40" s="33" t="str">
        <f>MatP8857C0PerText</f>
        <v>Each</v>
      </c>
      <c r="G40" s="32">
        <f t="shared" si="0"/>
        <v>8.8000000000000007</v>
      </c>
    </row>
    <row r="41" spans="1:7" x14ac:dyDescent="0.2">
      <c r="A41" s="24" t="str">
        <f>MatP8869C0Colour</f>
        <v>Not Specified</v>
      </c>
      <c r="B41" s="24" t="str">
        <f>IF(MatP8869C0Code=0,"",MatP8869C0Code)</f>
        <v/>
      </c>
      <c r="C41" s="24" t="str">
        <f>MatP8869C0Desc</f>
        <v>RH Uni-Fix Dry Verge Unit</v>
      </c>
      <c r="D41" s="31">
        <v>8</v>
      </c>
      <c r="E41" s="32">
        <f>MatP8869C0Price</f>
        <v>1.1000000000000001</v>
      </c>
      <c r="F41" s="33" t="str">
        <f>MatP8869C0PerText</f>
        <v>Each</v>
      </c>
      <c r="G41" s="32">
        <f t="shared" si="0"/>
        <v>8.8000000000000007</v>
      </c>
    </row>
    <row r="42" spans="1:7" x14ac:dyDescent="0.2">
      <c r="A42" s="24" t="str">
        <f>MatP8877C0Colour</f>
        <v>Not Specified</v>
      </c>
      <c r="B42" s="24" t="str">
        <f>IF(MatP8877C0Code=0,"",MatP8877C0Code)</f>
        <v/>
      </c>
      <c r="C42" s="24" t="str">
        <f>MatP8877C0Desc</f>
        <v>Uni-Fix Universal Ridge End Cap</v>
      </c>
      <c r="D42" s="31">
        <v>1</v>
      </c>
      <c r="E42" s="32">
        <f>MatP8877C0Price</f>
        <v>1.6</v>
      </c>
      <c r="F42" s="33" t="str">
        <f>MatP8877C0PerText</f>
        <v>Each</v>
      </c>
      <c r="G42" s="32">
        <f t="shared" si="0"/>
        <v>1.6</v>
      </c>
    </row>
    <row r="43" spans="1:7" x14ac:dyDescent="0.2">
      <c r="A43" s="24" t="str">
        <f>MatP8830C20Colour</f>
        <v>Not Specified</v>
      </c>
      <c r="B43" s="24" t="str">
        <f>IF(MatP8830C20Code=0,"",MatP8830C20Code)</f>
        <v/>
      </c>
      <c r="C43" s="24" t="str">
        <f>MatP8830C20Desc</f>
        <v>Dry Verge Starter Unit</v>
      </c>
      <c r="D43" s="31">
        <v>2</v>
      </c>
      <c r="E43" s="32">
        <f>MatP8830C20Price</f>
        <v>1.51</v>
      </c>
      <c r="F43" s="33" t="str">
        <f>MatP8830C20PerText</f>
        <v>Each</v>
      </c>
      <c r="G43" s="32">
        <f t="shared" si="0"/>
        <v>3.02</v>
      </c>
    </row>
    <row r="44" spans="1:7" x14ac:dyDescent="0.2">
      <c r="A44" s="24" t="str">
        <f>MatP8281C0Colour</f>
        <v>Not Specified</v>
      </c>
      <c r="B44" s="24" t="str">
        <f>IF(MatP8281C0Code=0,"",MatP8281C0Code)</f>
        <v/>
      </c>
      <c r="C44" s="24" t="str">
        <f>MatP8281C0Desc</f>
        <v>Generic Eave Insulation (1m)</v>
      </c>
      <c r="D44" s="31">
        <v>2</v>
      </c>
      <c r="E44" s="32">
        <f>MatP8281C0Price</f>
        <v>5</v>
      </c>
      <c r="F44" s="33" t="str">
        <f>MatP8281C0PerText</f>
        <v>Each</v>
      </c>
      <c r="G44" s="32">
        <f t="shared" si="0"/>
        <v>10</v>
      </c>
    </row>
    <row r="45" spans="1:7" x14ac:dyDescent="0.2">
      <c r="A45" s="24" t="str">
        <f>MatP8874C20Colour</f>
        <v>Not Specified</v>
      </c>
      <c r="B45" s="24" t="str">
        <f>IF(MatP8874C20Code=0,"",MatP8874C20Code)</f>
        <v/>
      </c>
      <c r="C45" s="24" t="str">
        <f>MatP8874C20Desc</f>
        <v>Underlay Support Tray (1.5m)</v>
      </c>
      <c r="D45" s="31">
        <v>2</v>
      </c>
      <c r="E45" s="32">
        <f>MatP8874C20Price</f>
        <v>1.5</v>
      </c>
      <c r="F45" s="33" t="str">
        <f>MatP8874C20PerText</f>
        <v>Each</v>
      </c>
      <c r="G45" s="32">
        <f t="shared" si="0"/>
        <v>3</v>
      </c>
    </row>
    <row r="46" spans="1:7" x14ac:dyDescent="0.2">
      <c r="A46" s="24" t="str">
        <f>MatP8826C539Colour</f>
        <v>Not Specified</v>
      </c>
      <c r="B46" s="24" t="str">
        <f>IF(MatP8826C539Code=0,"",MatP8826C539Code)</f>
        <v/>
      </c>
      <c r="C46" s="24" t="str">
        <f>MatP8826C539Desc</f>
        <v>Metal Batten End Clips</v>
      </c>
      <c r="D46" s="31">
        <v>8</v>
      </c>
      <c r="E46" s="32">
        <f>MatP8826C539Price</f>
        <v>0.28000000000000003</v>
      </c>
      <c r="F46" s="33" t="str">
        <f>MatP8826C539PerText</f>
        <v>Each</v>
      </c>
      <c r="G46" s="32">
        <f t="shared" si="0"/>
        <v>2.2400000000000002</v>
      </c>
    </row>
    <row r="47" spans="1:7" x14ac:dyDescent="0.2">
      <c r="A47" s="24" t="str">
        <f>MatP8831C539Colour</f>
        <v>Not Specified</v>
      </c>
      <c r="B47" s="24" t="str">
        <f>IF(MatP8831C539Code=0,"",MatP8831C539Code)</f>
        <v/>
      </c>
      <c r="C47" s="24" t="str">
        <f>MatP8831C539Desc</f>
        <v>Eave Clip</v>
      </c>
      <c r="D47" s="31">
        <v>6</v>
      </c>
      <c r="E47" s="32">
        <f>MatP8831C539Price</f>
        <v>0.1</v>
      </c>
      <c r="F47" s="33" t="str">
        <f>MatP8831C539PerText</f>
        <v>Each</v>
      </c>
      <c r="G47" s="32">
        <f t="shared" si="0"/>
        <v>0.60000000000000009</v>
      </c>
    </row>
    <row r="48" spans="1:7" x14ac:dyDescent="0.2">
      <c r="A48" s="24" t="str">
        <f>MatP9318C0Colour</f>
        <v>Not Specified</v>
      </c>
      <c r="B48" s="24" t="str">
        <f>IF(MatP9318C0Code=0,"",MatP9318C0Code)</f>
        <v/>
      </c>
      <c r="C48" s="24" t="str">
        <f>MatP9318C0Desc</f>
        <v>45mm x 3.35mm Aluminium Nails</v>
      </c>
      <c r="D48" s="31">
        <v>1</v>
      </c>
      <c r="E48" s="32">
        <f>MatP9318C0Price</f>
        <v>7.28</v>
      </c>
      <c r="F48" s="33" t="str">
        <f>MatP9318C0PerText</f>
        <v>Kg</v>
      </c>
      <c r="G48" s="32">
        <f t="shared" si="0"/>
        <v>7.28</v>
      </c>
    </row>
    <row r="49" spans="1:7" x14ac:dyDescent="0.2">
      <c r="A49" s="24" t="str">
        <f>MatP9100C0Colour</f>
        <v>Not Specified</v>
      </c>
      <c r="B49" s="24" t="str">
        <f>IF(MatP9100C0Code=0,"",MatP9100C0Code)</f>
        <v/>
      </c>
      <c r="C49" s="24" t="str">
        <f>MatP9100C0Desc</f>
        <v>Batten Nails - 65mm x 3.35mm Galvanised</v>
      </c>
      <c r="D49" s="31">
        <v>1</v>
      </c>
      <c r="E49" s="32">
        <f>MatP9100C0Price</f>
        <v>4.5</v>
      </c>
      <c r="F49" s="33" t="str">
        <f>MatP9100C0PerText</f>
        <v>Kg</v>
      </c>
      <c r="G49" s="32">
        <f t="shared" si="0"/>
        <v>4.5</v>
      </c>
    </row>
    <row r="50" spans="1:7" x14ac:dyDescent="0.2">
      <c r="A50" s="24" t="str">
        <f>MatP9066C92Colour</f>
        <v>Not Specified</v>
      </c>
      <c r="B50" s="24" t="str">
        <f>IF(MatP9066C92Code=0,"",MatP9066C92Code)</f>
        <v/>
      </c>
      <c r="C50" s="24" t="str">
        <f>MatP9066C92Desc</f>
        <v>Lead Code 4 - 300mm (6m)</v>
      </c>
      <c r="D50" s="31">
        <v>3</v>
      </c>
      <c r="E50" s="32">
        <f>MatP9066C92Price</f>
        <v>15.21</v>
      </c>
      <c r="F50" s="33" t="str">
        <f>MatP9066C92PerText</f>
        <v>Metre</v>
      </c>
      <c r="G50" s="32">
        <f t="shared" si="0"/>
        <v>45.63</v>
      </c>
    </row>
    <row r="51" spans="1:7" x14ac:dyDescent="0.2">
      <c r="A51" s="24" t="str">
        <f>MatLeadRidgeApexSaddleColour</f>
        <v>Not Specified</v>
      </c>
      <c r="B51" s="24" t="str">
        <f>IF(MatLeadRidgeApexSaddleCode=0,"",MatLeadRidgeApexSaddleCode)</f>
        <v/>
      </c>
      <c r="C51" s="24" t="str">
        <f>MatLeadRidgeApexSaddleDesc</f>
        <v>Lead Ridge Apex Saddle</v>
      </c>
      <c r="D51" s="31">
        <v>1</v>
      </c>
      <c r="E51" s="32">
        <f>MatLeadRidgeApexSaddlePrice</f>
        <v>15</v>
      </c>
      <c r="F51" s="33" t="str">
        <f>MatLeadRidgeApexSaddlePerText</f>
        <v>Each</v>
      </c>
      <c r="G51" s="32">
        <f t="shared" si="0"/>
        <v>15</v>
      </c>
    </row>
    <row r="52" spans="1:7" x14ac:dyDescent="0.2">
      <c r="D52" s="31"/>
      <c r="E52" s="32"/>
      <c r="F52" s="33"/>
      <c r="G52" s="32"/>
    </row>
    <row r="53" spans="1:7" x14ac:dyDescent="0.2">
      <c r="F53" s="34" t="s">
        <v>5</v>
      </c>
      <c r="G53" s="35">
        <f>SUM(G36:G52)</f>
        <v>183.93999999999997</v>
      </c>
    </row>
    <row r="54" spans="1:7" x14ac:dyDescent="0.2">
      <c r="G54" s="34"/>
    </row>
    <row r="55" spans="1:7" x14ac:dyDescent="0.2">
      <c r="A55" s="25" t="s">
        <v>15</v>
      </c>
      <c r="B55" s="25"/>
      <c r="D55" s="25"/>
      <c r="E55" s="25"/>
      <c r="F55" s="25"/>
      <c r="G55" s="25"/>
    </row>
    <row r="57" spans="1:7" x14ac:dyDescent="0.2">
      <c r="A57" s="102" t="s">
        <v>6</v>
      </c>
      <c r="B57" s="102"/>
      <c r="C57" s="102"/>
      <c r="D57" s="34" t="s">
        <v>7</v>
      </c>
      <c r="E57" s="34" t="s">
        <v>9</v>
      </c>
      <c r="F57" s="34" t="s">
        <v>8</v>
      </c>
      <c r="G57" s="34" t="s">
        <v>16</v>
      </c>
    </row>
    <row r="58" spans="1:7" x14ac:dyDescent="0.2">
      <c r="A58" s="103" t="str">
        <f>LabP8815R6L1G1Desc</f>
        <v>Main Area</v>
      </c>
      <c r="B58" s="103"/>
      <c r="C58" s="103"/>
      <c r="D58" s="36">
        <f>LabP8815R6L1G1Rate</f>
        <v>9</v>
      </c>
      <c r="E58" s="37">
        <f>'ROS-Porch (Gable)'!Area</f>
        <v>2.1</v>
      </c>
      <c r="F58" s="27" t="str">
        <f xml:space="preserve"> "" &amp; LabP8815R6L1G1Per</f>
        <v>m²</v>
      </c>
      <c r="G58" s="36">
        <f t="shared" ref="G58:G64" si="1">D58 * E58</f>
        <v>18.900000000000002</v>
      </c>
    </row>
    <row r="59" spans="1:7" x14ac:dyDescent="0.2">
      <c r="A59" s="24" t="str">
        <f>LabP8815R0L1G2Desc</f>
        <v>Eave</v>
      </c>
      <c r="D59" s="36">
        <f>LabP8815R0L1G2Rate</f>
        <v>2.5</v>
      </c>
      <c r="E59" s="37">
        <f>'ROS-Porch (Gable)'!Eave</f>
        <v>1.8</v>
      </c>
      <c r="F59" s="27" t="str">
        <f xml:space="preserve"> "" &amp; LabP8815R0L1G2Per</f>
        <v>m</v>
      </c>
      <c r="G59" s="36">
        <f t="shared" si="1"/>
        <v>4.5</v>
      </c>
    </row>
    <row r="60" spans="1:7" x14ac:dyDescent="0.2">
      <c r="A60" s="24" t="str">
        <f>LabP8815R0L1G3Desc</f>
        <v>Verge</v>
      </c>
      <c r="D60" s="36">
        <f>LabP8815R0L1G3Rate</f>
        <v>2.5</v>
      </c>
      <c r="E60" s="37">
        <f>LeftVerge+RightVerge</f>
        <v>2.34</v>
      </c>
      <c r="F60" s="27" t="str">
        <f xml:space="preserve"> "" &amp; LabP8815R0L1G3Per</f>
        <v>m</v>
      </c>
      <c r="G60" s="36">
        <f t="shared" si="1"/>
        <v>5.85</v>
      </c>
    </row>
    <row r="61" spans="1:7" x14ac:dyDescent="0.2">
      <c r="A61" s="24" t="str">
        <f>LabP8815R0L1G8Desc</f>
        <v>Duo Ridge</v>
      </c>
      <c r="D61" s="36">
        <f>LabP8815R0L1G8Rate</f>
        <v>2.5</v>
      </c>
      <c r="E61" s="37">
        <f>'ROS-Porch (Gable)'!DuoRidge</f>
        <v>0.9</v>
      </c>
      <c r="F61" s="27" t="str">
        <f xml:space="preserve"> "" &amp; LabP8815R0L1G8Per</f>
        <v>m</v>
      </c>
      <c r="G61" s="36">
        <f t="shared" si="1"/>
        <v>2.25</v>
      </c>
    </row>
    <row r="62" spans="1:7" x14ac:dyDescent="0.2">
      <c r="A62" s="24" t="str">
        <f>LabP8815R0L1G10Desc</f>
        <v>Abut Courses</v>
      </c>
      <c r="D62" s="36">
        <f>LabP8815R0L1G10Rate</f>
        <v>5</v>
      </c>
      <c r="E62" s="37">
        <f>'ROS-Porch (Gable)'!AbutCourses</f>
        <v>2.34</v>
      </c>
      <c r="F62" s="27" t="str">
        <f xml:space="preserve"> "" &amp; LabP8815R0L1G10Per</f>
        <v>m</v>
      </c>
      <c r="G62" s="36">
        <f t="shared" si="1"/>
        <v>11.7</v>
      </c>
    </row>
    <row r="63" spans="1:7" x14ac:dyDescent="0.2">
      <c r="A63" s="24" t="str">
        <f>LabP8815R15L1G274Desc</f>
        <v>Step and Cover Flashing (Code 4)</v>
      </c>
      <c r="D63" s="36">
        <f>LabP8815R15L1G274Rate</f>
        <v>15</v>
      </c>
      <c r="E63" s="37">
        <v>2.34</v>
      </c>
      <c r="F63" s="27" t="str">
        <f xml:space="preserve"> "" &amp; LabP8815R15L1G274Per</f>
        <v>m</v>
      </c>
      <c r="G63" s="36">
        <f t="shared" si="1"/>
        <v>35.099999999999994</v>
      </c>
    </row>
    <row r="64" spans="1:7" x14ac:dyDescent="0.2">
      <c r="A64" s="24" t="str">
        <f>LabP8815R150LabLabourforPorchesDesc</f>
        <v>Labour for Porches</v>
      </c>
      <c r="D64" s="36">
        <f>LabP8815R150LabLabourforPorchesRate</f>
        <v>150</v>
      </c>
      <c r="E64" s="37">
        <v>1</v>
      </c>
      <c r="F64" s="27" t="str">
        <f xml:space="preserve"> "" &amp; LabP8815R150LabLabourforPorchesPer</f>
        <v/>
      </c>
      <c r="G64" s="36">
        <f t="shared" si="1"/>
        <v>150</v>
      </c>
    </row>
    <row r="65" spans="1:7" x14ac:dyDescent="0.2">
      <c r="D65" s="36"/>
      <c r="E65" s="37"/>
      <c r="F65" s="27"/>
      <c r="G65" s="36"/>
    </row>
    <row r="66" spans="1:7" x14ac:dyDescent="0.2">
      <c r="A66" s="103"/>
      <c r="B66" s="103"/>
      <c r="C66" s="103"/>
      <c r="D66" s="36"/>
      <c r="E66" s="37"/>
      <c r="G66" s="36"/>
    </row>
    <row r="67" spans="1:7" x14ac:dyDescent="0.2">
      <c r="F67" s="34" t="s">
        <v>5</v>
      </c>
      <c r="G67" s="35">
        <f>SUM(G58:G66)</f>
        <v>228.3</v>
      </c>
    </row>
    <row r="71" spans="1:7" x14ac:dyDescent="0.2">
      <c r="A71" s="34"/>
      <c r="B71" s="38"/>
    </row>
    <row r="73" spans="1:7" x14ac:dyDescent="0.2">
      <c r="A73" s="34"/>
      <c r="B73" s="38"/>
    </row>
    <row r="75" spans="1:7" x14ac:dyDescent="0.2">
      <c r="A75" s="34"/>
      <c r="B75" s="38"/>
    </row>
    <row r="77" spans="1:7" x14ac:dyDescent="0.2">
      <c r="A77" s="34"/>
      <c r="B77" s="38"/>
    </row>
    <row r="80" spans="1:7" x14ac:dyDescent="0.2">
      <c r="A80" s="34"/>
      <c r="B80" s="38"/>
      <c r="C80" s="39"/>
    </row>
    <row r="82" spans="1:3" x14ac:dyDescent="0.2">
      <c r="A82" s="34"/>
      <c r="B82" s="38"/>
    </row>
    <row r="84" spans="1:3" x14ac:dyDescent="0.2">
      <c r="A84" s="34"/>
      <c r="B84" s="38"/>
      <c r="C84" s="39"/>
    </row>
    <row r="86" spans="1:3" x14ac:dyDescent="0.2">
      <c r="A86" s="34"/>
      <c r="B86" s="38"/>
    </row>
    <row r="88" spans="1:3" x14ac:dyDescent="0.2">
      <c r="A88" s="34"/>
      <c r="B88" s="38"/>
    </row>
    <row r="91" spans="1:3" x14ac:dyDescent="0.2">
      <c r="A91" s="34"/>
      <c r="B91" s="38"/>
    </row>
    <row r="93" spans="1:3" x14ac:dyDescent="0.2">
      <c r="A93" s="34"/>
      <c r="B93" s="38"/>
    </row>
    <row r="95" spans="1:3" x14ac:dyDescent="0.2">
      <c r="A95" s="34"/>
      <c r="B95" s="38"/>
      <c r="C95" s="39"/>
    </row>
    <row r="98" spans="1:3" x14ac:dyDescent="0.2">
      <c r="A98" s="34"/>
      <c r="B98" s="40"/>
      <c r="C98" s="23"/>
    </row>
    <row r="101" spans="1:3" x14ac:dyDescent="0.2">
      <c r="A101" s="39"/>
      <c r="B101" s="41"/>
    </row>
  </sheetData>
  <mergeCells count="5">
    <mergeCell ref="B4:F4"/>
    <mergeCell ref="B5:F5"/>
    <mergeCell ref="A57:C57"/>
    <mergeCell ref="A58:C58"/>
    <mergeCell ref="A66:C66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AEA63-E813-4D97-A06C-7B6AE10DCCA3}">
  <dimension ref="A1:G99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196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199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5.49</v>
      </c>
      <c r="C9" s="23"/>
      <c r="D9" s="26"/>
    </row>
    <row r="10" spans="1:7" x14ac:dyDescent="0.2">
      <c r="A10" s="23" t="s">
        <v>114</v>
      </c>
      <c r="B10" s="24">
        <v>3</v>
      </c>
      <c r="C10" s="23"/>
      <c r="D10" s="26"/>
    </row>
    <row r="11" spans="1:7" x14ac:dyDescent="0.2">
      <c r="A11" s="23" t="s">
        <v>141</v>
      </c>
      <c r="B11" s="24">
        <v>3</v>
      </c>
      <c r="C11" s="23"/>
      <c r="D11" s="26"/>
    </row>
    <row r="12" spans="1:7" x14ac:dyDescent="0.2">
      <c r="A12" s="23" t="s">
        <v>115</v>
      </c>
      <c r="B12" s="24">
        <v>1.83</v>
      </c>
      <c r="C12" s="23"/>
      <c r="D12" s="26"/>
    </row>
    <row r="13" spans="1:7" x14ac:dyDescent="0.2">
      <c r="A13" s="23" t="s">
        <v>116</v>
      </c>
      <c r="B13" s="24">
        <v>0</v>
      </c>
      <c r="C13" s="23"/>
      <c r="D13" s="26"/>
    </row>
    <row r="14" spans="1:7" x14ac:dyDescent="0.2">
      <c r="A14" s="23" t="s">
        <v>153</v>
      </c>
      <c r="B14" s="24">
        <v>1.83</v>
      </c>
      <c r="C14" s="23"/>
      <c r="D14" s="26"/>
    </row>
    <row r="15" spans="1:7" x14ac:dyDescent="0.2">
      <c r="A15" s="23" t="s">
        <v>119</v>
      </c>
      <c r="B15" s="24">
        <v>600</v>
      </c>
      <c r="C15" s="23"/>
      <c r="D15" s="26"/>
    </row>
    <row r="16" spans="1:7" x14ac:dyDescent="0.2">
      <c r="A16" s="23" t="s">
        <v>120</v>
      </c>
      <c r="B16" s="24">
        <v>40</v>
      </c>
      <c r="C16" s="23"/>
      <c r="D16" s="26"/>
    </row>
    <row r="17" spans="1:7" x14ac:dyDescent="0.2">
      <c r="A17" s="23"/>
      <c r="C17" s="23"/>
      <c r="D17" s="26"/>
    </row>
    <row r="18" spans="1:7" x14ac:dyDescent="0.2">
      <c r="A18" s="23"/>
      <c r="B18" s="27"/>
      <c r="C18" s="23"/>
      <c r="D18" s="26"/>
    </row>
    <row r="19" spans="1:7" x14ac:dyDescent="0.2">
      <c r="A19" s="28" t="s">
        <v>10</v>
      </c>
      <c r="B19" s="28"/>
      <c r="C19" s="28"/>
      <c r="D19" s="28"/>
      <c r="E19" s="28"/>
      <c r="F19" s="28"/>
      <c r="G19" s="28"/>
    </row>
    <row r="20" spans="1:7" x14ac:dyDescent="0.2">
      <c r="A20" s="28"/>
      <c r="B20" s="28"/>
      <c r="C20" s="28"/>
      <c r="D20" s="28"/>
      <c r="E20" s="28"/>
      <c r="F20" s="28"/>
      <c r="G20" s="28"/>
    </row>
    <row r="21" spans="1:7" x14ac:dyDescent="0.2">
      <c r="A21" s="29" t="s">
        <v>121</v>
      </c>
      <c r="B21" s="24" t="s">
        <v>122</v>
      </c>
      <c r="C21" s="29"/>
      <c r="D21" s="29"/>
      <c r="E21" s="29"/>
      <c r="F21" s="29"/>
    </row>
    <row r="22" spans="1:7" x14ac:dyDescent="0.2">
      <c r="A22" s="29" t="s">
        <v>123</v>
      </c>
      <c r="B22" s="24" t="s">
        <v>124</v>
      </c>
      <c r="C22" s="29"/>
      <c r="D22" s="29"/>
      <c r="E22" s="29"/>
      <c r="F22" s="29"/>
    </row>
    <row r="23" spans="1:7" x14ac:dyDescent="0.2">
      <c r="A23" s="29"/>
      <c r="B23" s="24" t="s">
        <v>125</v>
      </c>
      <c r="C23" s="29"/>
      <c r="D23" s="29"/>
      <c r="E23" s="29"/>
      <c r="F23" s="29"/>
    </row>
    <row r="24" spans="1:7" x14ac:dyDescent="0.2">
      <c r="A24" s="29" t="s">
        <v>126</v>
      </c>
      <c r="B24" s="24" t="s">
        <v>127</v>
      </c>
      <c r="C24" s="29"/>
      <c r="D24" s="29"/>
      <c r="E24" s="29"/>
      <c r="F24" s="29"/>
    </row>
    <row r="25" spans="1:7" x14ac:dyDescent="0.2">
      <c r="A25" s="29"/>
      <c r="B25" s="24" t="s">
        <v>142</v>
      </c>
      <c r="C25" s="29"/>
      <c r="D25" s="29"/>
      <c r="E25" s="29"/>
      <c r="F25" s="29"/>
    </row>
    <row r="26" spans="1:7" x14ac:dyDescent="0.2">
      <c r="A26" s="29" t="s">
        <v>129</v>
      </c>
      <c r="B26" s="24" t="s">
        <v>130</v>
      </c>
      <c r="C26" s="29"/>
      <c r="D26" s="29"/>
      <c r="E26" s="29"/>
      <c r="F26" s="29"/>
    </row>
    <row r="27" spans="1:7" x14ac:dyDescent="0.2">
      <c r="A27" s="29" t="s">
        <v>134</v>
      </c>
      <c r="B27" s="24" t="s">
        <v>135</v>
      </c>
      <c r="C27" s="29"/>
      <c r="D27" s="29"/>
      <c r="E27" s="29"/>
      <c r="F27" s="29"/>
    </row>
    <row r="28" spans="1:7" x14ac:dyDescent="0.2">
      <c r="A28" s="29" t="s">
        <v>136</v>
      </c>
      <c r="B28" s="24" t="s">
        <v>137</v>
      </c>
      <c r="C28" s="29"/>
      <c r="D28" s="29"/>
      <c r="E28" s="29"/>
      <c r="F28" s="29"/>
    </row>
    <row r="29" spans="1:7" x14ac:dyDescent="0.2">
      <c r="A29" s="29" t="s">
        <v>143</v>
      </c>
      <c r="B29" s="24" t="s">
        <v>144</v>
      </c>
      <c r="C29" s="29"/>
      <c r="D29" s="29"/>
      <c r="E29" s="29"/>
      <c r="F29" s="29"/>
    </row>
    <row r="30" spans="1:7" x14ac:dyDescent="0.2">
      <c r="A30" s="29"/>
      <c r="B30" s="24" t="s">
        <v>155</v>
      </c>
      <c r="C30" s="29"/>
      <c r="D30" s="29"/>
      <c r="E30" s="29"/>
      <c r="F30" s="29"/>
    </row>
    <row r="31" spans="1:7" x14ac:dyDescent="0.2">
      <c r="A31" s="29"/>
      <c r="C31" s="29"/>
      <c r="D31" s="29"/>
      <c r="E31" s="29"/>
      <c r="F31" s="29"/>
    </row>
    <row r="32" spans="1:7" x14ac:dyDescent="0.2">
      <c r="A32" s="29"/>
      <c r="C32" s="29"/>
      <c r="D32" s="29"/>
      <c r="E32" s="29"/>
      <c r="F32" s="29"/>
    </row>
    <row r="33" spans="1:7" x14ac:dyDescent="0.2">
      <c r="A33" s="25" t="s">
        <v>14</v>
      </c>
      <c r="B33" s="25"/>
      <c r="C33" s="25"/>
      <c r="D33" s="25"/>
      <c r="E33" s="25"/>
      <c r="F33" s="25"/>
      <c r="G33" s="25"/>
    </row>
    <row r="35" spans="1:7" s="29" customFormat="1" x14ac:dyDescent="0.2">
      <c r="A35" s="29" t="s">
        <v>25</v>
      </c>
      <c r="B35" s="29" t="s">
        <v>38</v>
      </c>
      <c r="C35" s="29" t="s">
        <v>2</v>
      </c>
      <c r="D35" s="30" t="s">
        <v>9</v>
      </c>
      <c r="E35" s="30" t="s">
        <v>3</v>
      </c>
      <c r="F35" s="30" t="s">
        <v>4</v>
      </c>
      <c r="G35" s="30" t="s">
        <v>16</v>
      </c>
    </row>
    <row r="36" spans="1:7" x14ac:dyDescent="0.2">
      <c r="A36" s="24" t="str">
        <f>MatP8815C0Colour</f>
        <v>Not Specified</v>
      </c>
      <c r="B36" s="24" t="str">
        <f>IF(MatP8815C0Code=0,"",MatP8815C0Code)</f>
        <v/>
      </c>
      <c r="C36" s="24" t="str">
        <f>MatP8815C0Desc</f>
        <v>TLE Tile</v>
      </c>
      <c r="D36" s="31">
        <v>62</v>
      </c>
      <c r="E36" s="32">
        <f>MatP8815C0Price</f>
        <v>1.2</v>
      </c>
      <c r="F36" s="33" t="str">
        <f>MatP8815C0PerText</f>
        <v>Each</v>
      </c>
      <c r="G36" s="32">
        <f t="shared" ref="G36:G50" si="0">D36 * E36</f>
        <v>74.399999999999991</v>
      </c>
    </row>
    <row r="37" spans="1:7" x14ac:dyDescent="0.2">
      <c r="A37" s="24" t="str">
        <f>MatP10135C0Colour</f>
        <v>Not Specified</v>
      </c>
      <c r="B37" s="24" t="str">
        <f>IF(MatP10135C0Code=0,"",MatP10135C0Code)</f>
        <v/>
      </c>
      <c r="C37" s="24" t="str">
        <f>MatP10135C0Desc</f>
        <v>VP300 Vapour Permeable Underlay (50m x 1m)</v>
      </c>
      <c r="D37" s="31">
        <v>0.25</v>
      </c>
      <c r="E37" s="32">
        <f>MatP10135C0Price</f>
        <v>35</v>
      </c>
      <c r="F37" s="33" t="str">
        <f>MatP10135C0PerText</f>
        <v>Roll</v>
      </c>
      <c r="G37" s="32">
        <f t="shared" si="0"/>
        <v>8.75</v>
      </c>
    </row>
    <row r="38" spans="1:7" x14ac:dyDescent="0.2">
      <c r="A38" s="24" t="str">
        <f>MatP9008C0Colour</f>
        <v>Not Specified</v>
      </c>
      <c r="B38" s="24" t="str">
        <f>IF(MatP9008C0Code=0,"",MatP9008C0Code)</f>
        <v/>
      </c>
      <c r="C38" s="24" t="str">
        <f>MatP9008C0Desc</f>
        <v>Battens (50mm x 25mm)</v>
      </c>
      <c r="D38" s="31">
        <v>18</v>
      </c>
      <c r="E38" s="32">
        <f>MatP9008C0Price</f>
        <v>0.9</v>
      </c>
      <c r="F38" s="33" t="str">
        <f>MatP9008C0PerText</f>
        <v>Metre</v>
      </c>
      <c r="G38" s="32">
        <f t="shared" si="0"/>
        <v>16.2</v>
      </c>
    </row>
    <row r="39" spans="1:7" x14ac:dyDescent="0.2">
      <c r="A39" s="24" t="str">
        <f>MatP8857C0Colour</f>
        <v>Not Specified</v>
      </c>
      <c r="B39" s="24" t="str">
        <f>IF(MatP8857C0Code=0,"",MatP8857C0Code)</f>
        <v/>
      </c>
      <c r="C39" s="24" t="str">
        <f>MatP8857C0Desc</f>
        <v>LH Uni-Fix Dry Verge Unit</v>
      </c>
      <c r="D39" s="31">
        <v>12</v>
      </c>
      <c r="E39" s="32">
        <f>MatP8857C0Price</f>
        <v>1.1000000000000001</v>
      </c>
      <c r="F39" s="33" t="str">
        <f>MatP8857C0PerText</f>
        <v>Each</v>
      </c>
      <c r="G39" s="32">
        <f t="shared" si="0"/>
        <v>13.200000000000001</v>
      </c>
    </row>
    <row r="40" spans="1:7" x14ac:dyDescent="0.2">
      <c r="A40" s="24" t="str">
        <f>MatP8830C20Colour</f>
        <v>Not Specified</v>
      </c>
      <c r="B40" s="24" t="str">
        <f>IF(MatP8830C20Code=0,"",MatP8830C20Code)</f>
        <v/>
      </c>
      <c r="C40" s="24" t="str">
        <f>MatP8830C20Desc</f>
        <v>Dry Verge Starter Unit</v>
      </c>
      <c r="D40" s="31">
        <v>1</v>
      </c>
      <c r="E40" s="32">
        <f>MatP8830C20Price</f>
        <v>1.51</v>
      </c>
      <c r="F40" s="33" t="str">
        <f>MatP8830C20PerText</f>
        <v>Each</v>
      </c>
      <c r="G40" s="32">
        <f t="shared" si="0"/>
        <v>1.51</v>
      </c>
    </row>
    <row r="41" spans="1:7" x14ac:dyDescent="0.2">
      <c r="A41" s="24" t="str">
        <f>MatP8821C20Colour</f>
        <v>Not Specified</v>
      </c>
      <c r="B41" s="24" t="str">
        <f>IF(MatP8821C20Code=0,"",MatP8821C20Code)</f>
        <v/>
      </c>
      <c r="C41" s="24" t="str">
        <f>MatP8821C20Desc</f>
        <v>25mm Over Fascia Vent (1m)</v>
      </c>
      <c r="D41" s="31">
        <v>3</v>
      </c>
      <c r="E41" s="32">
        <f>MatP8821C20Price</f>
        <v>1.9</v>
      </c>
      <c r="F41" s="33" t="str">
        <f>MatP8821C20PerText</f>
        <v>Each</v>
      </c>
      <c r="G41" s="32">
        <f t="shared" si="0"/>
        <v>5.6999999999999993</v>
      </c>
    </row>
    <row r="42" spans="1:7" x14ac:dyDescent="0.2">
      <c r="A42" s="24" t="str">
        <f>MatP8281C0Colour</f>
        <v>Not Specified</v>
      </c>
      <c r="B42" s="24" t="str">
        <f>IF(MatP8281C0Code=0,"",MatP8281C0Code)</f>
        <v/>
      </c>
      <c r="C42" s="24" t="str">
        <f>MatP8281C0Desc</f>
        <v>Generic Eave Insulation (1m)</v>
      </c>
      <c r="D42" s="31">
        <v>3</v>
      </c>
      <c r="E42" s="32">
        <f>MatP8281C0Price</f>
        <v>5</v>
      </c>
      <c r="F42" s="33" t="str">
        <f>MatP8281C0PerText</f>
        <v>Each</v>
      </c>
      <c r="G42" s="32">
        <f t="shared" si="0"/>
        <v>15</v>
      </c>
    </row>
    <row r="43" spans="1:7" x14ac:dyDescent="0.2">
      <c r="A43" s="24" t="str">
        <f>MatP8866C20Colour</f>
        <v>Not Specified</v>
      </c>
      <c r="B43" s="24" t="str">
        <f>IF(MatP8866C20Code=0,"",MatP8866C20Code)</f>
        <v/>
      </c>
      <c r="C43" s="24" t="str">
        <f>MatP8866C20Desc</f>
        <v>Rafter Roll (6m x 600mm)</v>
      </c>
      <c r="D43" s="31">
        <v>1</v>
      </c>
      <c r="E43" s="32">
        <f>MatP8866C20Price</f>
        <v>9.5</v>
      </c>
      <c r="F43" s="33" t="str">
        <f>MatP8866C20PerText</f>
        <v>Each</v>
      </c>
      <c r="G43" s="32">
        <f t="shared" si="0"/>
        <v>9.5</v>
      </c>
    </row>
    <row r="44" spans="1:7" x14ac:dyDescent="0.2">
      <c r="A44" s="24" t="str">
        <f>MatP8874C20Colour</f>
        <v>Not Specified</v>
      </c>
      <c r="B44" s="24" t="str">
        <f>IF(MatP8874C20Code=0,"",MatP8874C20Code)</f>
        <v/>
      </c>
      <c r="C44" s="24" t="str">
        <f>MatP8874C20Desc</f>
        <v>Underlay Support Tray (1.5m)</v>
      </c>
      <c r="D44" s="31">
        <v>2</v>
      </c>
      <c r="E44" s="32">
        <f>MatP8874C20Price</f>
        <v>1.5</v>
      </c>
      <c r="F44" s="33" t="str">
        <f>MatP8874C20PerText</f>
        <v>Each</v>
      </c>
      <c r="G44" s="32">
        <f t="shared" si="0"/>
        <v>3</v>
      </c>
    </row>
    <row r="45" spans="1:7" x14ac:dyDescent="0.2">
      <c r="A45" s="24" t="str">
        <f>MatP8872C539Colour</f>
        <v>Not Specified</v>
      </c>
      <c r="B45" s="24" t="str">
        <f>IF(MatP8872C539Code=0,"",MatP8872C539Code)</f>
        <v/>
      </c>
      <c r="C45" s="24" t="str">
        <f>MatP8872C539Desc</f>
        <v>Sidelock Tile Clips (TLE)</v>
      </c>
      <c r="D45" s="31">
        <v>14</v>
      </c>
      <c r="E45" s="32">
        <f>MatP8872C539Price</f>
        <v>7.0000000000000007E-2</v>
      </c>
      <c r="F45" s="33" t="str">
        <f>MatP8872C539PerText</f>
        <v>Each</v>
      </c>
      <c r="G45" s="32">
        <f t="shared" si="0"/>
        <v>0.98000000000000009</v>
      </c>
    </row>
    <row r="46" spans="1:7" x14ac:dyDescent="0.2">
      <c r="A46" s="24" t="str">
        <f>MatP8826C539Colour</f>
        <v>Not Specified</v>
      </c>
      <c r="B46" s="24" t="str">
        <f>IF(MatP8826C539Code=0,"",MatP8826C539Code)</f>
        <v/>
      </c>
      <c r="C46" s="24" t="str">
        <f>MatP8826C539Desc</f>
        <v>Metal Batten End Clips</v>
      </c>
      <c r="D46" s="31">
        <v>6</v>
      </c>
      <c r="E46" s="32">
        <f>MatP8826C539Price</f>
        <v>0.28000000000000003</v>
      </c>
      <c r="F46" s="33" t="str">
        <f>MatP8826C539PerText</f>
        <v>Each</v>
      </c>
      <c r="G46" s="32">
        <f t="shared" si="0"/>
        <v>1.6800000000000002</v>
      </c>
    </row>
    <row r="47" spans="1:7" x14ac:dyDescent="0.2">
      <c r="A47" s="24" t="str">
        <f>MatP8831C539Colour</f>
        <v>Not Specified</v>
      </c>
      <c r="B47" s="24" t="str">
        <f>IF(MatP8831C539Code=0,"",MatP8831C539Code)</f>
        <v/>
      </c>
      <c r="C47" s="24" t="str">
        <f>MatP8831C539Desc</f>
        <v>Eave Clip</v>
      </c>
      <c r="D47" s="31">
        <v>10</v>
      </c>
      <c r="E47" s="32">
        <f>MatP8831C539Price</f>
        <v>0.1</v>
      </c>
      <c r="F47" s="33" t="str">
        <f>MatP8831C539PerText</f>
        <v>Each</v>
      </c>
      <c r="G47" s="32">
        <f t="shared" si="0"/>
        <v>1</v>
      </c>
    </row>
    <row r="48" spans="1:7" x14ac:dyDescent="0.2">
      <c r="A48" s="24" t="str">
        <f>MatP9318C0Colour</f>
        <v>Not Specified</v>
      </c>
      <c r="B48" s="24" t="str">
        <f>IF(MatP9318C0Code=0,"",MatP9318C0Code)</f>
        <v/>
      </c>
      <c r="C48" s="24" t="str">
        <f>MatP9318C0Desc</f>
        <v>45mm x 3.35mm Aluminium Nails</v>
      </c>
      <c r="D48" s="31">
        <v>0.99999997019767761</v>
      </c>
      <c r="E48" s="32">
        <f>MatP9318C0Price</f>
        <v>7.28</v>
      </c>
      <c r="F48" s="33" t="str">
        <f>MatP9318C0PerText</f>
        <v>Kg</v>
      </c>
      <c r="G48" s="32">
        <f t="shared" si="0"/>
        <v>7.2799997830390932</v>
      </c>
    </row>
    <row r="49" spans="1:7" x14ac:dyDescent="0.2">
      <c r="A49" s="24" t="str">
        <f>MatP9100C0Colour</f>
        <v>Not Specified</v>
      </c>
      <c r="B49" s="24" t="str">
        <f>IF(MatP9100C0Code=0,"",MatP9100C0Code)</f>
        <v/>
      </c>
      <c r="C49" s="24" t="str">
        <f>MatP9100C0Desc</f>
        <v>Batten Nails - 65mm x 3.35mm Galvanised</v>
      </c>
      <c r="D49" s="31">
        <v>1</v>
      </c>
      <c r="E49" s="32">
        <f>MatP9100C0Price</f>
        <v>4.5</v>
      </c>
      <c r="F49" s="33" t="str">
        <f>MatP9100C0PerText</f>
        <v>Kg</v>
      </c>
      <c r="G49" s="32">
        <f t="shared" si="0"/>
        <v>4.5</v>
      </c>
    </row>
    <row r="50" spans="1:7" x14ac:dyDescent="0.2">
      <c r="A50" s="24" t="str">
        <f>MatP9066C92Colour</f>
        <v>Not Specified</v>
      </c>
      <c r="B50" s="24" t="str">
        <f>IF(MatP9066C92Code=0,"",MatP9066C92Code)</f>
        <v/>
      </c>
      <c r="C50" s="24" t="str">
        <f>MatP9066C92Desc</f>
        <v>Lead Code 4 - 300mm (6m)</v>
      </c>
      <c r="D50" s="31">
        <v>6</v>
      </c>
      <c r="E50" s="32">
        <f>MatP9066C92Price</f>
        <v>15.21</v>
      </c>
      <c r="F50" s="33" t="str">
        <f>MatP9066C92PerText</f>
        <v>Metre</v>
      </c>
      <c r="G50" s="32">
        <f t="shared" si="0"/>
        <v>91.26</v>
      </c>
    </row>
    <row r="51" spans="1:7" x14ac:dyDescent="0.2">
      <c r="D51" s="31"/>
      <c r="E51" s="32"/>
      <c r="F51" s="33"/>
      <c r="G51" s="32"/>
    </row>
    <row r="52" spans="1:7" x14ac:dyDescent="0.2">
      <c r="F52" s="34" t="s">
        <v>5</v>
      </c>
      <c r="G52" s="35">
        <f>SUM(G36:G51)</f>
        <v>253.95999978303911</v>
      </c>
    </row>
    <row r="53" spans="1:7" x14ac:dyDescent="0.2">
      <c r="G53" s="34"/>
    </row>
    <row r="54" spans="1:7" x14ac:dyDescent="0.2">
      <c r="A54" s="25" t="s">
        <v>15</v>
      </c>
      <c r="B54" s="25"/>
      <c r="D54" s="25"/>
      <c r="E54" s="25"/>
      <c r="F54" s="25"/>
      <c r="G54" s="25"/>
    </row>
    <row r="56" spans="1:7" x14ac:dyDescent="0.2">
      <c r="A56" s="102" t="s">
        <v>6</v>
      </c>
      <c r="B56" s="102"/>
      <c r="C56" s="102"/>
      <c r="D56" s="34" t="s">
        <v>7</v>
      </c>
      <c r="E56" s="34" t="s">
        <v>9</v>
      </c>
      <c r="F56" s="34" t="s">
        <v>8</v>
      </c>
      <c r="G56" s="34" t="s">
        <v>16</v>
      </c>
    </row>
    <row r="57" spans="1:7" x14ac:dyDescent="0.2">
      <c r="A57" s="103" t="str">
        <f>LabP8815R6L1G1Desc</f>
        <v>Main Area</v>
      </c>
      <c r="B57" s="103"/>
      <c r="C57" s="103"/>
      <c r="D57" s="36">
        <f>LabP8815R6L1G1Rate</f>
        <v>9</v>
      </c>
      <c r="E57" s="37">
        <f>'ROS-Lower Level'!Area</f>
        <v>5.49</v>
      </c>
      <c r="F57" s="27" t="str">
        <f xml:space="preserve"> "" &amp; LabP8815R6L1G1Per</f>
        <v>m²</v>
      </c>
      <c r="G57" s="36">
        <f t="shared" ref="G57:G62" si="1">D57 * E57</f>
        <v>49.410000000000004</v>
      </c>
    </row>
    <row r="58" spans="1:7" x14ac:dyDescent="0.2">
      <c r="A58" s="24" t="str">
        <f>LabP8815R0L1G2Desc</f>
        <v>Eave</v>
      </c>
      <c r="D58" s="36">
        <f>LabP8815R0L1G2Rate</f>
        <v>2.5</v>
      </c>
      <c r="E58" s="37">
        <f>'ROS-Lower Level'!Eave</f>
        <v>3</v>
      </c>
      <c r="F58" s="27" t="str">
        <f xml:space="preserve"> "" &amp; LabP8815R0L1G2Per</f>
        <v>m</v>
      </c>
      <c r="G58" s="36">
        <f t="shared" si="1"/>
        <v>7.5</v>
      </c>
    </row>
    <row r="59" spans="1:7" x14ac:dyDescent="0.2">
      <c r="A59" s="24" t="str">
        <f>LabP8815R0L1G3Desc</f>
        <v>Verge</v>
      </c>
      <c r="D59" s="36">
        <f>LabP8815R0L1G3Rate</f>
        <v>2.5</v>
      </c>
      <c r="E59" s="37">
        <f>LeftVerge+RightVerge</f>
        <v>1.83</v>
      </c>
      <c r="F59" s="27" t="str">
        <f xml:space="preserve"> "" &amp; LabP8815R0L1G3Per</f>
        <v>m</v>
      </c>
      <c r="G59" s="36">
        <f t="shared" si="1"/>
        <v>4.5750000000000002</v>
      </c>
    </row>
    <row r="60" spans="1:7" x14ac:dyDescent="0.2">
      <c r="A60" s="24" t="str">
        <f>LabP8815R0L1G10Desc</f>
        <v>Abut Courses</v>
      </c>
      <c r="D60" s="36">
        <f>LabP8815R0L1G10Rate</f>
        <v>5</v>
      </c>
      <c r="E60" s="37">
        <f>'ROS-Lower Level'!AbutCourses</f>
        <v>1.83</v>
      </c>
      <c r="F60" s="27" t="str">
        <f xml:space="preserve"> "" &amp; LabP8815R0L1G10Per</f>
        <v>m</v>
      </c>
      <c r="G60" s="36">
        <f t="shared" si="1"/>
        <v>9.15</v>
      </c>
    </row>
    <row r="61" spans="1:7" x14ac:dyDescent="0.2">
      <c r="A61" s="24" t="str">
        <f>LabP8815R15L1G243Desc</f>
        <v>Apron Flashing (Code 4)</v>
      </c>
      <c r="D61" s="36">
        <f>LabP8815R15L1G243Rate</f>
        <v>15</v>
      </c>
      <c r="E61" s="37">
        <v>3</v>
      </c>
      <c r="F61" s="27" t="str">
        <f xml:space="preserve"> "" &amp; LabP8815R15L1G243Per</f>
        <v>m</v>
      </c>
      <c r="G61" s="36">
        <f t="shared" si="1"/>
        <v>45</v>
      </c>
    </row>
    <row r="62" spans="1:7" x14ac:dyDescent="0.2">
      <c r="A62" s="24" t="str">
        <f>LabP8815R15L1G274Desc</f>
        <v>Step and Cover Flashing (Code 4)</v>
      </c>
      <c r="D62" s="36">
        <f>LabP8815R15L1G274Rate</f>
        <v>15</v>
      </c>
      <c r="E62" s="37">
        <v>1.83</v>
      </c>
      <c r="F62" s="27" t="str">
        <f xml:space="preserve"> "" &amp; LabP8815R15L1G274Per</f>
        <v>m</v>
      </c>
      <c r="G62" s="36">
        <f t="shared" si="1"/>
        <v>27.450000000000003</v>
      </c>
    </row>
    <row r="63" spans="1:7" x14ac:dyDescent="0.2">
      <c r="D63" s="36"/>
      <c r="E63" s="37"/>
      <c r="F63" s="27"/>
      <c r="G63" s="36"/>
    </row>
    <row r="64" spans="1:7" x14ac:dyDescent="0.2">
      <c r="A64" s="103"/>
      <c r="B64" s="103"/>
      <c r="C64" s="103"/>
      <c r="D64" s="36"/>
      <c r="E64" s="37"/>
      <c r="G64" s="36"/>
    </row>
    <row r="65" spans="1:7" x14ac:dyDescent="0.2">
      <c r="F65" s="34" t="s">
        <v>5</v>
      </c>
      <c r="G65" s="35">
        <f>SUM(G57:G64)</f>
        <v>143.08500000000001</v>
      </c>
    </row>
    <row r="69" spans="1:7" x14ac:dyDescent="0.2">
      <c r="A69" s="34"/>
      <c r="B69" s="38"/>
    </row>
    <row r="71" spans="1:7" x14ac:dyDescent="0.2">
      <c r="A71" s="34"/>
      <c r="B71" s="38"/>
    </row>
    <row r="73" spans="1:7" x14ac:dyDescent="0.2">
      <c r="A73" s="34"/>
      <c r="B73" s="38"/>
    </row>
    <row r="75" spans="1:7" x14ac:dyDescent="0.2">
      <c r="A75" s="34"/>
      <c r="B75" s="38"/>
    </row>
    <row r="78" spans="1:7" x14ac:dyDescent="0.2">
      <c r="A78" s="34"/>
      <c r="B78" s="38"/>
      <c r="C78" s="39"/>
    </row>
    <row r="80" spans="1:7" x14ac:dyDescent="0.2">
      <c r="A80" s="34"/>
      <c r="B80" s="38"/>
    </row>
    <row r="82" spans="1:3" x14ac:dyDescent="0.2">
      <c r="A82" s="34"/>
      <c r="B82" s="38"/>
      <c r="C82" s="39"/>
    </row>
    <row r="84" spans="1:3" x14ac:dyDescent="0.2">
      <c r="A84" s="34"/>
      <c r="B84" s="38"/>
    </row>
    <row r="86" spans="1:3" x14ac:dyDescent="0.2">
      <c r="A86" s="34"/>
      <c r="B86" s="38"/>
    </row>
    <row r="89" spans="1:3" x14ac:dyDescent="0.2">
      <c r="A89" s="34"/>
      <c r="B89" s="38"/>
    </row>
    <row r="91" spans="1:3" x14ac:dyDescent="0.2">
      <c r="A91" s="34"/>
      <c r="B91" s="38"/>
    </row>
    <row r="93" spans="1:3" x14ac:dyDescent="0.2">
      <c r="A93" s="34"/>
      <c r="B93" s="38"/>
      <c r="C93" s="39"/>
    </row>
    <row r="96" spans="1:3" x14ac:dyDescent="0.2">
      <c r="A96" s="34"/>
      <c r="B96" s="40"/>
      <c r="C96" s="23"/>
    </row>
    <row r="99" spans="1:2" x14ac:dyDescent="0.2">
      <c r="A99" s="39"/>
      <c r="B99" s="41"/>
    </row>
  </sheetData>
  <mergeCells count="5">
    <mergeCell ref="B4:F4"/>
    <mergeCell ref="B5:F5"/>
    <mergeCell ref="A56:C56"/>
    <mergeCell ref="A57:C57"/>
    <mergeCell ref="A64:C64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8A5AB-A351-45CB-B85F-8D8E2356DEA4}">
  <dimension ref="A1:G99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201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139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65.92</v>
      </c>
      <c r="C9" s="23"/>
      <c r="D9" s="26"/>
    </row>
    <row r="10" spans="1:7" x14ac:dyDescent="0.2">
      <c r="A10" s="23" t="s">
        <v>114</v>
      </c>
      <c r="B10" s="24">
        <v>13</v>
      </c>
      <c r="C10" s="23"/>
      <c r="D10" s="26"/>
    </row>
    <row r="11" spans="1:7" x14ac:dyDescent="0.2">
      <c r="A11" s="23" t="s">
        <v>115</v>
      </c>
      <c r="B11" s="24">
        <v>10.14</v>
      </c>
      <c r="C11" s="23"/>
      <c r="D11" s="26"/>
    </row>
    <row r="12" spans="1:7" x14ac:dyDescent="0.2">
      <c r="A12" s="23" t="s">
        <v>116</v>
      </c>
      <c r="B12" s="24">
        <v>10.14</v>
      </c>
      <c r="C12" s="23"/>
      <c r="D12" s="26"/>
    </row>
    <row r="13" spans="1:7" x14ac:dyDescent="0.2">
      <c r="A13" s="23" t="s">
        <v>117</v>
      </c>
      <c r="B13" s="24">
        <v>6.5</v>
      </c>
      <c r="C13" s="23"/>
      <c r="D13" s="26"/>
    </row>
    <row r="14" spans="1:7" x14ac:dyDescent="0.2">
      <c r="A14" s="23" t="s">
        <v>119</v>
      </c>
      <c r="B14" s="24">
        <v>600</v>
      </c>
      <c r="C14" s="23"/>
      <c r="D14" s="26"/>
    </row>
    <row r="15" spans="1:7" x14ac:dyDescent="0.2">
      <c r="A15" s="23" t="s">
        <v>120</v>
      </c>
      <c r="B15" s="24">
        <v>35</v>
      </c>
      <c r="C15" s="23"/>
      <c r="D15" s="26"/>
    </row>
    <row r="16" spans="1:7" x14ac:dyDescent="0.2">
      <c r="A16" s="23"/>
      <c r="C16" s="23"/>
      <c r="D16" s="26"/>
    </row>
    <row r="17" spans="1:7" x14ac:dyDescent="0.2">
      <c r="A17" s="23"/>
      <c r="B17" s="27"/>
      <c r="C17" s="23"/>
      <c r="D17" s="26"/>
    </row>
    <row r="18" spans="1:7" x14ac:dyDescent="0.2">
      <c r="A18" s="28" t="s">
        <v>10</v>
      </c>
      <c r="B18" s="28"/>
      <c r="C18" s="28"/>
      <c r="D18" s="28"/>
      <c r="E18" s="28"/>
      <c r="F18" s="28"/>
      <c r="G18" s="28"/>
    </row>
    <row r="19" spans="1:7" x14ac:dyDescent="0.2">
      <c r="A19" s="28"/>
      <c r="B19" s="28"/>
      <c r="C19" s="28"/>
      <c r="D19" s="28"/>
      <c r="E19" s="28"/>
      <c r="F19" s="28"/>
      <c r="G19" s="28"/>
    </row>
    <row r="20" spans="1:7" x14ac:dyDescent="0.2">
      <c r="A20" s="29" t="s">
        <v>121</v>
      </c>
      <c r="B20" s="24" t="s">
        <v>122</v>
      </c>
      <c r="C20" s="29"/>
      <c r="D20" s="29"/>
      <c r="E20" s="29"/>
      <c r="F20" s="29"/>
    </row>
    <row r="21" spans="1:7" x14ac:dyDescent="0.2">
      <c r="A21" s="29" t="s">
        <v>123</v>
      </c>
      <c r="B21" s="24" t="s">
        <v>124</v>
      </c>
      <c r="C21" s="29"/>
      <c r="D21" s="29"/>
      <c r="E21" s="29"/>
      <c r="F21" s="29"/>
    </row>
    <row r="22" spans="1:7" x14ac:dyDescent="0.2">
      <c r="A22" s="29"/>
      <c r="B22" s="24" t="s">
        <v>125</v>
      </c>
      <c r="C22" s="29"/>
      <c r="D22" s="29"/>
      <c r="E22" s="29"/>
      <c r="F22" s="29"/>
    </row>
    <row r="23" spans="1:7" x14ac:dyDescent="0.2">
      <c r="A23" s="29" t="s">
        <v>126</v>
      </c>
      <c r="B23" s="24" t="s">
        <v>127</v>
      </c>
      <c r="C23" s="29"/>
      <c r="D23" s="29"/>
      <c r="E23" s="29"/>
      <c r="F23" s="29"/>
    </row>
    <row r="24" spans="1:7" x14ac:dyDescent="0.2">
      <c r="A24" s="29"/>
      <c r="B24" s="24" t="s">
        <v>128</v>
      </c>
      <c r="C24" s="29"/>
      <c r="D24" s="29"/>
      <c r="E24" s="29"/>
      <c r="F24" s="29"/>
    </row>
    <row r="25" spans="1:7" x14ac:dyDescent="0.2">
      <c r="A25" s="29" t="s">
        <v>129</v>
      </c>
      <c r="B25" s="24" t="s">
        <v>130</v>
      </c>
      <c r="C25" s="29"/>
      <c r="D25" s="29"/>
      <c r="E25" s="29"/>
      <c r="F25" s="29"/>
    </row>
    <row r="26" spans="1:7" x14ac:dyDescent="0.2">
      <c r="A26" s="29"/>
      <c r="B26" s="24" t="s">
        <v>150</v>
      </c>
      <c r="C26" s="29"/>
      <c r="D26" s="29"/>
      <c r="E26" s="29"/>
      <c r="F26" s="29"/>
    </row>
    <row r="27" spans="1:7" x14ac:dyDescent="0.2">
      <c r="A27" s="29" t="s">
        <v>132</v>
      </c>
      <c r="B27" s="24" t="s">
        <v>133</v>
      </c>
      <c r="C27" s="29"/>
      <c r="D27" s="29"/>
      <c r="E27" s="29"/>
      <c r="F27" s="29"/>
    </row>
    <row r="28" spans="1:7" x14ac:dyDescent="0.2">
      <c r="A28" s="29" t="s">
        <v>134</v>
      </c>
      <c r="B28" s="24" t="s">
        <v>135</v>
      </c>
      <c r="C28" s="29"/>
      <c r="D28" s="29"/>
      <c r="E28" s="29"/>
      <c r="F28" s="29"/>
    </row>
    <row r="29" spans="1:7" x14ac:dyDescent="0.2">
      <c r="A29" s="29" t="s">
        <v>136</v>
      </c>
      <c r="B29" s="24" t="s">
        <v>137</v>
      </c>
      <c r="C29" s="29"/>
      <c r="D29" s="29"/>
      <c r="E29" s="29"/>
      <c r="F29" s="29"/>
    </row>
    <row r="30" spans="1:7" x14ac:dyDescent="0.2">
      <c r="A30" s="29"/>
      <c r="C30" s="29"/>
      <c r="D30" s="29"/>
      <c r="E30" s="29"/>
      <c r="F30" s="29"/>
    </row>
    <row r="31" spans="1:7" x14ac:dyDescent="0.2">
      <c r="A31" s="29"/>
      <c r="C31" s="29"/>
      <c r="D31" s="29"/>
      <c r="E31" s="29"/>
      <c r="F31" s="29"/>
    </row>
    <row r="32" spans="1:7" x14ac:dyDescent="0.2">
      <c r="A32" s="25" t="s">
        <v>14</v>
      </c>
      <c r="B32" s="25"/>
      <c r="C32" s="25"/>
      <c r="D32" s="25"/>
      <c r="E32" s="25"/>
      <c r="F32" s="25"/>
      <c r="G32" s="25"/>
    </row>
    <row r="34" spans="1:7" s="29" customFormat="1" x14ac:dyDescent="0.2">
      <c r="A34" s="29" t="s">
        <v>25</v>
      </c>
      <c r="B34" s="29" t="s">
        <v>38</v>
      </c>
      <c r="C34" s="29" t="s">
        <v>2</v>
      </c>
      <c r="D34" s="30" t="s">
        <v>9</v>
      </c>
      <c r="E34" s="30" t="s">
        <v>3</v>
      </c>
      <c r="F34" s="30" t="s">
        <v>4</v>
      </c>
      <c r="G34" s="30" t="s">
        <v>16</v>
      </c>
    </row>
    <row r="35" spans="1:7" x14ac:dyDescent="0.2">
      <c r="A35" s="24" t="str">
        <f>MatP8815C0Colour</f>
        <v>Not Specified</v>
      </c>
      <c r="B35" s="24" t="str">
        <f>IF(MatP8815C0Code=0,"",MatP8815C0Code)</f>
        <v/>
      </c>
      <c r="C35" s="24" t="str">
        <f>MatP8815C0Desc</f>
        <v>TLE Tile</v>
      </c>
      <c r="D35" s="31">
        <v>680</v>
      </c>
      <c r="E35" s="32">
        <f>MatP8815C0Price</f>
        <v>1.2</v>
      </c>
      <c r="F35" s="33" t="str">
        <f>MatP8815C0PerText</f>
        <v>Each</v>
      </c>
      <c r="G35" s="32">
        <f t="shared" ref="G35:G52" si="0">D35 * E35</f>
        <v>816</v>
      </c>
    </row>
    <row r="36" spans="1:7" x14ac:dyDescent="0.2">
      <c r="A36" s="24" t="str">
        <f>MatP8870C0Colour</f>
        <v>Not Specified</v>
      </c>
      <c r="B36" s="24" t="str">
        <f>IF(MatP8870C0Code=0,"",MatP8870C0Code)</f>
        <v/>
      </c>
      <c r="C36" s="24" t="str">
        <f>MatP8870C0Desc</f>
        <v>Ridge Tile (450mm)</v>
      </c>
      <c r="D36" s="31">
        <v>15</v>
      </c>
      <c r="E36" s="32">
        <f>MatP8870C0Price</f>
        <v>3.64</v>
      </c>
      <c r="F36" s="33" t="str">
        <f>MatP8870C0PerText</f>
        <v>Each</v>
      </c>
      <c r="G36" s="32">
        <f t="shared" si="0"/>
        <v>54.6</v>
      </c>
    </row>
    <row r="37" spans="1:7" x14ac:dyDescent="0.2">
      <c r="A37" s="24" t="str">
        <f>MatP10135C0Colour</f>
        <v>Not Specified</v>
      </c>
      <c r="B37" s="24" t="str">
        <f>IF(MatP10135C0Code=0,"",MatP10135C0Code)</f>
        <v/>
      </c>
      <c r="C37" s="24" t="str">
        <f>MatP10135C0Desc</f>
        <v>VP300 Vapour Permeable Underlay (50m x 1m)</v>
      </c>
      <c r="D37" s="31">
        <v>2</v>
      </c>
      <c r="E37" s="32">
        <f>MatP10135C0Price</f>
        <v>35</v>
      </c>
      <c r="F37" s="33" t="str">
        <f>MatP10135C0PerText</f>
        <v>Roll</v>
      </c>
      <c r="G37" s="32">
        <f t="shared" si="0"/>
        <v>70</v>
      </c>
    </row>
    <row r="38" spans="1:7" x14ac:dyDescent="0.2">
      <c r="A38" s="24" t="str">
        <f>MatP9008C0Colour</f>
        <v>Not Specified</v>
      </c>
      <c r="B38" s="24" t="str">
        <f>IF(MatP9008C0Code=0,"",MatP9008C0Code)</f>
        <v/>
      </c>
      <c r="C38" s="24" t="str">
        <f>MatP9008C0Desc</f>
        <v>Battens (50mm x 25mm)</v>
      </c>
      <c r="D38" s="31">
        <v>225</v>
      </c>
      <c r="E38" s="32">
        <f>MatP9008C0Price</f>
        <v>0.9</v>
      </c>
      <c r="F38" s="33" t="str">
        <f>MatP9008C0PerText</f>
        <v>Metre</v>
      </c>
      <c r="G38" s="32">
        <f t="shared" si="0"/>
        <v>202.5</v>
      </c>
    </row>
    <row r="39" spans="1:7" x14ac:dyDescent="0.2">
      <c r="A39" s="24" t="str">
        <f>MatP8879C15Colour</f>
        <v>Not Specified</v>
      </c>
      <c r="B39" s="24" t="str">
        <f>IF(MatP8879C15Code=0,"",MatP8879C15Code)</f>
        <v/>
      </c>
      <c r="C39" s="24" t="str">
        <f>MatP8879C15Desc</f>
        <v>Universal Dry Ridge/Hip System (6m)</v>
      </c>
      <c r="D39" s="31">
        <v>2</v>
      </c>
      <c r="E39" s="32">
        <f>MatP8879C15Price</f>
        <v>28.09</v>
      </c>
      <c r="F39" s="33" t="str">
        <f>MatP8879C15PerText</f>
        <v>Pack</v>
      </c>
      <c r="G39" s="32">
        <f t="shared" si="0"/>
        <v>56.18</v>
      </c>
    </row>
    <row r="40" spans="1:7" x14ac:dyDescent="0.2">
      <c r="A40" s="24" t="str">
        <f>MatP8857C0Colour</f>
        <v>Not Specified</v>
      </c>
      <c r="B40" s="24" t="str">
        <f>IF(MatP8857C0Code=0,"",MatP8857C0Code)</f>
        <v/>
      </c>
      <c r="C40" s="24" t="str">
        <f>MatP8857C0Desc</f>
        <v>LH Uni-Fix Dry Verge Unit</v>
      </c>
      <c r="D40" s="31">
        <v>60</v>
      </c>
      <c r="E40" s="32">
        <f>MatP8857C0Price</f>
        <v>1.1000000000000001</v>
      </c>
      <c r="F40" s="33" t="str">
        <f>MatP8857C0PerText</f>
        <v>Each</v>
      </c>
      <c r="G40" s="32">
        <f t="shared" si="0"/>
        <v>66</v>
      </c>
    </row>
    <row r="41" spans="1:7" x14ac:dyDescent="0.2">
      <c r="A41" s="24" t="str">
        <f>MatP8869C0Colour</f>
        <v>Not Specified</v>
      </c>
      <c r="B41" s="24" t="str">
        <f>IF(MatP8869C0Code=0,"",MatP8869C0Code)</f>
        <v/>
      </c>
      <c r="C41" s="24" t="str">
        <f>MatP8869C0Desc</f>
        <v>RH Uni-Fix Dry Verge Unit</v>
      </c>
      <c r="D41" s="31">
        <v>60</v>
      </c>
      <c r="E41" s="32">
        <f>MatP8869C0Price</f>
        <v>1.1000000000000001</v>
      </c>
      <c r="F41" s="33" t="str">
        <f>MatP8869C0PerText</f>
        <v>Each</v>
      </c>
      <c r="G41" s="32">
        <f t="shared" si="0"/>
        <v>66</v>
      </c>
    </row>
    <row r="42" spans="1:7" x14ac:dyDescent="0.2">
      <c r="A42" s="24" t="str">
        <f>MatP8877C0Colour</f>
        <v>Not Specified</v>
      </c>
      <c r="B42" s="24" t="str">
        <f>IF(MatP8877C0Code=0,"",MatP8877C0Code)</f>
        <v/>
      </c>
      <c r="C42" s="24" t="str">
        <f>MatP8877C0Desc</f>
        <v>Uni-Fix Universal Ridge End Cap</v>
      </c>
      <c r="D42" s="31">
        <v>2</v>
      </c>
      <c r="E42" s="32">
        <f>MatP8877C0Price</f>
        <v>1.6</v>
      </c>
      <c r="F42" s="33" t="str">
        <f>MatP8877C0PerText</f>
        <v>Each</v>
      </c>
      <c r="G42" s="32">
        <f t="shared" si="0"/>
        <v>3.2</v>
      </c>
    </row>
    <row r="43" spans="1:7" x14ac:dyDescent="0.2">
      <c r="A43" s="24" t="str">
        <f>MatP8830C20Colour</f>
        <v>Not Specified</v>
      </c>
      <c r="B43" s="24" t="str">
        <f>IF(MatP8830C20Code=0,"",MatP8830C20Code)</f>
        <v/>
      </c>
      <c r="C43" s="24" t="str">
        <f>MatP8830C20Desc</f>
        <v>Dry Verge Starter Unit</v>
      </c>
      <c r="D43" s="31">
        <v>4</v>
      </c>
      <c r="E43" s="32">
        <f>MatP8830C20Price</f>
        <v>1.51</v>
      </c>
      <c r="F43" s="33" t="str">
        <f>MatP8830C20PerText</f>
        <v>Each</v>
      </c>
      <c r="G43" s="32">
        <f t="shared" si="0"/>
        <v>6.04</v>
      </c>
    </row>
    <row r="44" spans="1:7" x14ac:dyDescent="0.2">
      <c r="A44" s="24" t="str">
        <f>MatP8820C20Colour</f>
        <v>Not Specified</v>
      </c>
      <c r="B44" s="24" t="str">
        <f>IF(MatP8820C20Code=0,"",MatP8820C20Code)</f>
        <v/>
      </c>
      <c r="C44" s="24" t="str">
        <f>MatP8820C20Desc</f>
        <v>10mm Over Fascia Vent (1m)</v>
      </c>
      <c r="D44" s="31">
        <v>13</v>
      </c>
      <c r="E44" s="32">
        <f>MatP8820C20Price</f>
        <v>1.7</v>
      </c>
      <c r="F44" s="33" t="str">
        <f>MatP8820C20PerText</f>
        <v>Each</v>
      </c>
      <c r="G44" s="32">
        <f t="shared" si="0"/>
        <v>22.099999999999998</v>
      </c>
    </row>
    <row r="45" spans="1:7" x14ac:dyDescent="0.2">
      <c r="A45" s="24" t="str">
        <f>MatP8281C0Colour</f>
        <v>Not Specified</v>
      </c>
      <c r="B45" s="24" t="str">
        <f>IF(MatP8281C0Code=0,"",MatP8281C0Code)</f>
        <v/>
      </c>
      <c r="C45" s="24" t="str">
        <f>MatP8281C0Desc</f>
        <v>Generic Eave Insulation (1m)</v>
      </c>
      <c r="D45" s="31">
        <v>13</v>
      </c>
      <c r="E45" s="32">
        <f>MatP8281C0Price</f>
        <v>5</v>
      </c>
      <c r="F45" s="33" t="str">
        <f>MatP8281C0PerText</f>
        <v>Each</v>
      </c>
      <c r="G45" s="32">
        <f t="shared" si="0"/>
        <v>65</v>
      </c>
    </row>
    <row r="46" spans="1:7" x14ac:dyDescent="0.2">
      <c r="A46" s="24" t="str">
        <f>MatP8866C20Colour</f>
        <v>Not Specified</v>
      </c>
      <c r="B46" s="24" t="str">
        <f>IF(MatP8866C20Code=0,"",MatP8866C20Code)</f>
        <v/>
      </c>
      <c r="C46" s="24" t="str">
        <f>MatP8866C20Desc</f>
        <v>Rafter Roll (6m x 600mm)</v>
      </c>
      <c r="D46" s="31">
        <v>3</v>
      </c>
      <c r="E46" s="32">
        <f>MatP8866C20Price</f>
        <v>9.5</v>
      </c>
      <c r="F46" s="33" t="str">
        <f>MatP8866C20PerText</f>
        <v>Each</v>
      </c>
      <c r="G46" s="32">
        <f t="shared" si="0"/>
        <v>28.5</v>
      </c>
    </row>
    <row r="47" spans="1:7" x14ac:dyDescent="0.2">
      <c r="A47" s="24" t="str">
        <f>MatP8874C20Colour</f>
        <v>Not Specified</v>
      </c>
      <c r="B47" s="24" t="str">
        <f>IF(MatP8874C20Code=0,"",MatP8874C20Code)</f>
        <v/>
      </c>
      <c r="C47" s="24" t="str">
        <f>MatP8874C20Desc</f>
        <v>Underlay Support Tray (1.5m)</v>
      </c>
      <c r="D47" s="31">
        <v>9</v>
      </c>
      <c r="E47" s="32">
        <f>MatP8874C20Price</f>
        <v>1.5</v>
      </c>
      <c r="F47" s="33" t="str">
        <f>MatP8874C20PerText</f>
        <v>Each</v>
      </c>
      <c r="G47" s="32">
        <f t="shared" si="0"/>
        <v>13.5</v>
      </c>
    </row>
    <row r="48" spans="1:7" x14ac:dyDescent="0.2">
      <c r="A48" s="24" t="str">
        <f>MatP8872C539Colour</f>
        <v>Not Specified</v>
      </c>
      <c r="B48" s="24" t="str">
        <f>IF(MatP8872C539Code=0,"",MatP8872C539Code)</f>
        <v/>
      </c>
      <c r="C48" s="24" t="str">
        <f>MatP8872C539Desc</f>
        <v>Sidelock Tile Clips (TLE)</v>
      </c>
      <c r="D48" s="31">
        <v>256</v>
      </c>
      <c r="E48" s="32">
        <f>MatP8872C539Price</f>
        <v>7.0000000000000007E-2</v>
      </c>
      <c r="F48" s="33" t="str">
        <f>MatP8872C539PerText</f>
        <v>Each</v>
      </c>
      <c r="G48" s="32">
        <f t="shared" si="0"/>
        <v>17.920000000000002</v>
      </c>
    </row>
    <row r="49" spans="1:7" x14ac:dyDescent="0.2">
      <c r="A49" s="24" t="str">
        <f>MatP8826C539Colour</f>
        <v>Not Specified</v>
      </c>
      <c r="B49" s="24" t="str">
        <f>IF(MatP8826C539Code=0,"",MatP8826C539Code)</f>
        <v/>
      </c>
      <c r="C49" s="24" t="str">
        <f>MatP8826C539Desc</f>
        <v>Metal Batten End Clips</v>
      </c>
      <c r="D49" s="31">
        <v>60</v>
      </c>
      <c r="E49" s="32">
        <f>MatP8826C539Price</f>
        <v>0.28000000000000003</v>
      </c>
      <c r="F49" s="33" t="str">
        <f>MatP8826C539PerText</f>
        <v>Each</v>
      </c>
      <c r="G49" s="32">
        <f t="shared" si="0"/>
        <v>16.8</v>
      </c>
    </row>
    <row r="50" spans="1:7" x14ac:dyDescent="0.2">
      <c r="A50" s="24" t="str">
        <f>MatP8831C539Colour</f>
        <v>Not Specified</v>
      </c>
      <c r="B50" s="24" t="str">
        <f>IF(MatP8831C539Code=0,"",MatP8831C539Code)</f>
        <v/>
      </c>
      <c r="C50" s="24" t="str">
        <f>MatP8831C539Desc</f>
        <v>Eave Clip</v>
      </c>
      <c r="D50" s="31">
        <v>44</v>
      </c>
      <c r="E50" s="32">
        <f>MatP8831C539Price</f>
        <v>0.1</v>
      </c>
      <c r="F50" s="33" t="str">
        <f>MatP8831C539PerText</f>
        <v>Each</v>
      </c>
      <c r="G50" s="32">
        <f t="shared" si="0"/>
        <v>4.4000000000000004</v>
      </c>
    </row>
    <row r="51" spans="1:7" x14ac:dyDescent="0.2">
      <c r="A51" s="24" t="str">
        <f>MatP9318C0Colour</f>
        <v>Not Specified</v>
      </c>
      <c r="B51" s="24" t="str">
        <f>IF(MatP9318C0Code=0,"",MatP9318C0Code)</f>
        <v/>
      </c>
      <c r="C51" s="24" t="str">
        <f>MatP9318C0Desc</f>
        <v>45mm x 3.35mm Aluminium Nails</v>
      </c>
      <c r="D51" s="31">
        <v>1.9999999403953552</v>
      </c>
      <c r="E51" s="32">
        <f>MatP9318C0Price</f>
        <v>7.28</v>
      </c>
      <c r="F51" s="33" t="str">
        <f>MatP9318C0PerText</f>
        <v>Kg</v>
      </c>
      <c r="G51" s="32">
        <f t="shared" si="0"/>
        <v>14.559999566078186</v>
      </c>
    </row>
    <row r="52" spans="1:7" x14ac:dyDescent="0.2">
      <c r="A52" s="24" t="str">
        <f>MatP9100C0Colour</f>
        <v>Not Specified</v>
      </c>
      <c r="B52" s="24" t="str">
        <f>IF(MatP9100C0Code=0,"",MatP9100C0Code)</f>
        <v/>
      </c>
      <c r="C52" s="24" t="str">
        <f>MatP9100C0Desc</f>
        <v>Batten Nails - 65mm x 3.35mm Galvanised</v>
      </c>
      <c r="D52" s="31">
        <v>2</v>
      </c>
      <c r="E52" s="32">
        <f>MatP9100C0Price</f>
        <v>4.5</v>
      </c>
      <c r="F52" s="33" t="str">
        <f>MatP9100C0PerText</f>
        <v>Kg</v>
      </c>
      <c r="G52" s="32">
        <f t="shared" si="0"/>
        <v>9</v>
      </c>
    </row>
    <row r="53" spans="1:7" x14ac:dyDescent="0.2">
      <c r="D53" s="31"/>
      <c r="E53" s="32"/>
      <c r="F53" s="33"/>
      <c r="G53" s="32"/>
    </row>
    <row r="54" spans="1:7" x14ac:dyDescent="0.2">
      <c r="F54" s="34" t="s">
        <v>5</v>
      </c>
      <c r="G54" s="35">
        <f>SUM(G35:G53)</f>
        <v>1532.2999995660782</v>
      </c>
    </row>
    <row r="55" spans="1:7" x14ac:dyDescent="0.2">
      <c r="G55" s="34"/>
    </row>
    <row r="56" spans="1:7" x14ac:dyDescent="0.2">
      <c r="A56" s="25" t="s">
        <v>15</v>
      </c>
      <c r="B56" s="25"/>
      <c r="D56" s="25"/>
      <c r="E56" s="25"/>
      <c r="F56" s="25"/>
      <c r="G56" s="25"/>
    </row>
    <row r="58" spans="1:7" x14ac:dyDescent="0.2">
      <c r="A58" s="102" t="s">
        <v>6</v>
      </c>
      <c r="B58" s="102"/>
      <c r="C58" s="102"/>
      <c r="D58" s="34" t="s">
        <v>7</v>
      </c>
      <c r="E58" s="34" t="s">
        <v>9</v>
      </c>
      <c r="F58" s="34" t="s">
        <v>8</v>
      </c>
      <c r="G58" s="34" t="s">
        <v>16</v>
      </c>
    </row>
    <row r="59" spans="1:7" x14ac:dyDescent="0.2">
      <c r="A59" s="103" t="str">
        <f>LabP8815R6L1G1Desc</f>
        <v>Main Area</v>
      </c>
      <c r="B59" s="103"/>
      <c r="C59" s="103"/>
      <c r="D59" s="36">
        <f>LabP8815R6L1G1Rate</f>
        <v>9</v>
      </c>
      <c r="E59" s="37">
        <f>'RUF-DET-Main Roof'!Area</f>
        <v>65.92</v>
      </c>
      <c r="F59" s="27" t="str">
        <f xml:space="preserve"> "" &amp; LabP8815R6L1G1Per</f>
        <v>m²</v>
      </c>
      <c r="G59" s="36">
        <f>D59 * E59</f>
        <v>593.28</v>
      </c>
    </row>
    <row r="60" spans="1:7" x14ac:dyDescent="0.2">
      <c r="A60" s="24" t="str">
        <f>LabP8815R0L1G2Desc</f>
        <v>Eave</v>
      </c>
      <c r="D60" s="36">
        <f>LabP8815R0L1G2Rate</f>
        <v>2.5</v>
      </c>
      <c r="E60" s="37">
        <f>'RUF-DET-Main Roof'!Eave</f>
        <v>13</v>
      </c>
      <c r="F60" s="27" t="str">
        <f xml:space="preserve"> "" &amp; LabP8815R0L1G2Per</f>
        <v>m</v>
      </c>
      <c r="G60" s="36">
        <f>D60 * E60</f>
        <v>32.5</v>
      </c>
    </row>
    <row r="61" spans="1:7" x14ac:dyDescent="0.2">
      <c r="A61" s="24" t="str">
        <f>LabP8815R0L1G3Desc</f>
        <v>Verge</v>
      </c>
      <c r="D61" s="36">
        <f>LabP8815R0L1G3Rate</f>
        <v>2.5</v>
      </c>
      <c r="E61" s="37">
        <f>LeftVerge+RightVerge</f>
        <v>20.28</v>
      </c>
      <c r="F61" s="27" t="str">
        <f xml:space="preserve"> "" &amp; LabP8815R0L1G3Per</f>
        <v>m</v>
      </c>
      <c r="G61" s="36">
        <f>D61 * E61</f>
        <v>50.7</v>
      </c>
    </row>
    <row r="62" spans="1:7" x14ac:dyDescent="0.2">
      <c r="A62" s="24" t="str">
        <f>LabP8815R0L1G8Desc</f>
        <v>Duo Ridge</v>
      </c>
      <c r="D62" s="36">
        <f>LabP8815R0L1G8Rate</f>
        <v>2.5</v>
      </c>
      <c r="E62" s="37">
        <f>'RUF-DET-Main Roof'!DuoRidge</f>
        <v>6.5</v>
      </c>
      <c r="F62" s="27" t="str">
        <f xml:space="preserve"> "" &amp; LabP8815R0L1G8Per</f>
        <v>m</v>
      </c>
      <c r="G62" s="36">
        <f>D62 * E62</f>
        <v>16.25</v>
      </c>
    </row>
    <row r="63" spans="1:7" x14ac:dyDescent="0.2">
      <c r="D63" s="36"/>
      <c r="E63" s="37"/>
      <c r="F63" s="27"/>
      <c r="G63" s="36"/>
    </row>
    <row r="64" spans="1:7" x14ac:dyDescent="0.2">
      <c r="A64" s="103"/>
      <c r="B64" s="103"/>
      <c r="C64" s="103"/>
      <c r="D64" s="36"/>
      <c r="E64" s="37"/>
      <c r="G64" s="36"/>
    </row>
    <row r="65" spans="1:7" x14ac:dyDescent="0.2">
      <c r="F65" s="34" t="s">
        <v>5</v>
      </c>
      <c r="G65" s="35">
        <f>SUM(G59:G64)</f>
        <v>692.73</v>
      </c>
    </row>
    <row r="69" spans="1:7" x14ac:dyDescent="0.2">
      <c r="A69" s="34"/>
      <c r="B69" s="38"/>
    </row>
    <row r="71" spans="1:7" x14ac:dyDescent="0.2">
      <c r="A71" s="34"/>
      <c r="B71" s="38"/>
    </row>
    <row r="73" spans="1:7" x14ac:dyDescent="0.2">
      <c r="A73" s="34"/>
      <c r="B73" s="38"/>
    </row>
    <row r="75" spans="1:7" x14ac:dyDescent="0.2">
      <c r="A75" s="34"/>
      <c r="B75" s="38"/>
    </row>
    <row r="78" spans="1:7" x14ac:dyDescent="0.2">
      <c r="A78" s="34"/>
      <c r="B78" s="38"/>
      <c r="C78" s="39"/>
    </row>
    <row r="80" spans="1:7" x14ac:dyDescent="0.2">
      <c r="A80" s="34"/>
      <c r="B80" s="38"/>
    </row>
    <row r="82" spans="1:3" x14ac:dyDescent="0.2">
      <c r="A82" s="34"/>
      <c r="B82" s="38"/>
      <c r="C82" s="39"/>
    </row>
    <row r="84" spans="1:3" x14ac:dyDescent="0.2">
      <c r="A84" s="34"/>
      <c r="B84" s="38"/>
    </row>
    <row r="86" spans="1:3" x14ac:dyDescent="0.2">
      <c r="A86" s="34"/>
      <c r="B86" s="38"/>
    </row>
    <row r="89" spans="1:3" x14ac:dyDescent="0.2">
      <c r="A89" s="34"/>
      <c r="B89" s="38"/>
    </row>
    <row r="91" spans="1:3" x14ac:dyDescent="0.2">
      <c r="A91" s="34"/>
      <c r="B91" s="38"/>
    </row>
    <row r="93" spans="1:3" x14ac:dyDescent="0.2">
      <c r="A93" s="34"/>
      <c r="B93" s="38"/>
      <c r="C93" s="39"/>
    </row>
    <row r="96" spans="1:3" x14ac:dyDescent="0.2">
      <c r="A96" s="34"/>
      <c r="B96" s="40"/>
      <c r="C96" s="23"/>
    </row>
    <row r="99" spans="1:2" x14ac:dyDescent="0.2">
      <c r="A99" s="39"/>
      <c r="B99" s="41"/>
    </row>
  </sheetData>
  <mergeCells count="5">
    <mergeCell ref="B4:F4"/>
    <mergeCell ref="B5:F5"/>
    <mergeCell ref="A58:C58"/>
    <mergeCell ref="A59:C59"/>
    <mergeCell ref="A64:C64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BDB75-9360-4477-80E1-36E8222D5896}">
  <dimension ref="A1:G96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201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199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9.99</v>
      </c>
      <c r="C9" s="23"/>
      <c r="D9" s="26"/>
    </row>
    <row r="10" spans="1:7" x14ac:dyDescent="0.2">
      <c r="A10" s="23" t="s">
        <v>114</v>
      </c>
      <c r="B10" s="24">
        <v>4.4000000000000004</v>
      </c>
      <c r="C10" s="23"/>
      <c r="D10" s="26"/>
    </row>
    <row r="11" spans="1:7" x14ac:dyDescent="0.2">
      <c r="A11" s="23" t="s">
        <v>141</v>
      </c>
      <c r="B11" s="24">
        <v>44</v>
      </c>
      <c r="C11" s="23"/>
      <c r="D11" s="26"/>
    </row>
    <row r="12" spans="1:7" x14ac:dyDescent="0.2">
      <c r="A12" s="23" t="s">
        <v>115</v>
      </c>
      <c r="B12" s="24">
        <v>2.27</v>
      </c>
      <c r="C12" s="23"/>
      <c r="D12" s="26"/>
    </row>
    <row r="13" spans="1:7" x14ac:dyDescent="0.2">
      <c r="A13" s="23" t="s">
        <v>116</v>
      </c>
      <c r="B13" s="24">
        <v>2.27</v>
      </c>
      <c r="C13" s="23"/>
      <c r="D13" s="26"/>
    </row>
    <row r="14" spans="1:7" x14ac:dyDescent="0.2">
      <c r="A14" s="23" t="s">
        <v>119</v>
      </c>
      <c r="B14" s="24">
        <v>600</v>
      </c>
      <c r="C14" s="23"/>
      <c r="D14" s="26"/>
    </row>
    <row r="15" spans="1:7" x14ac:dyDescent="0.2">
      <c r="A15" s="23" t="s">
        <v>120</v>
      </c>
      <c r="B15" s="24">
        <v>22.5</v>
      </c>
      <c r="C15" s="23"/>
      <c r="D15" s="26"/>
    </row>
    <row r="16" spans="1:7" x14ac:dyDescent="0.2">
      <c r="A16" s="23"/>
      <c r="C16" s="23"/>
      <c r="D16" s="26"/>
    </row>
    <row r="17" spans="1:7" x14ac:dyDescent="0.2">
      <c r="A17" s="23"/>
      <c r="B17" s="27"/>
      <c r="C17" s="23"/>
      <c r="D17" s="26"/>
    </row>
    <row r="18" spans="1:7" x14ac:dyDescent="0.2">
      <c r="A18" s="28" t="s">
        <v>10</v>
      </c>
      <c r="B18" s="28"/>
      <c r="C18" s="28"/>
      <c r="D18" s="28"/>
      <c r="E18" s="28"/>
      <c r="F18" s="28"/>
      <c r="G18" s="28"/>
    </row>
    <row r="19" spans="1:7" x14ac:dyDescent="0.2">
      <c r="A19" s="28"/>
      <c r="B19" s="28"/>
      <c r="C19" s="28"/>
      <c r="D19" s="28"/>
      <c r="E19" s="28"/>
      <c r="F19" s="28"/>
      <c r="G19" s="28"/>
    </row>
    <row r="20" spans="1:7" x14ac:dyDescent="0.2">
      <c r="A20" s="29" t="s">
        <v>121</v>
      </c>
      <c r="B20" s="24" t="s">
        <v>122</v>
      </c>
      <c r="C20" s="29"/>
      <c r="D20" s="29"/>
      <c r="E20" s="29"/>
      <c r="F20" s="29"/>
    </row>
    <row r="21" spans="1:7" x14ac:dyDescent="0.2">
      <c r="A21" s="29" t="s">
        <v>123</v>
      </c>
      <c r="B21" s="24" t="s">
        <v>124</v>
      </c>
      <c r="C21" s="29"/>
      <c r="D21" s="29"/>
      <c r="E21" s="29"/>
      <c r="F21" s="29"/>
    </row>
    <row r="22" spans="1:7" x14ac:dyDescent="0.2">
      <c r="A22" s="29"/>
      <c r="B22" s="24" t="s">
        <v>154</v>
      </c>
      <c r="C22" s="29"/>
      <c r="D22" s="29"/>
      <c r="E22" s="29"/>
      <c r="F22" s="29"/>
    </row>
    <row r="23" spans="1:7" x14ac:dyDescent="0.2">
      <c r="A23" s="29" t="s">
        <v>126</v>
      </c>
      <c r="B23" s="24" t="s">
        <v>127</v>
      </c>
      <c r="C23" s="29"/>
      <c r="D23" s="29"/>
      <c r="E23" s="29"/>
      <c r="F23" s="29"/>
    </row>
    <row r="24" spans="1:7" x14ac:dyDescent="0.2">
      <c r="A24" s="29"/>
      <c r="B24" s="24" t="s">
        <v>142</v>
      </c>
      <c r="C24" s="29"/>
      <c r="D24" s="29"/>
      <c r="E24" s="29"/>
      <c r="F24" s="29"/>
    </row>
    <row r="25" spans="1:7" x14ac:dyDescent="0.2">
      <c r="A25" s="29" t="s">
        <v>129</v>
      </c>
      <c r="B25" s="24" t="s">
        <v>130</v>
      </c>
      <c r="C25" s="29"/>
      <c r="D25" s="29"/>
      <c r="E25" s="29"/>
      <c r="F25" s="29"/>
    </row>
    <row r="26" spans="1:7" x14ac:dyDescent="0.2">
      <c r="A26" s="29" t="s">
        <v>134</v>
      </c>
      <c r="B26" s="24" t="s">
        <v>135</v>
      </c>
      <c r="C26" s="29"/>
      <c r="D26" s="29"/>
      <c r="E26" s="29"/>
      <c r="F26" s="29"/>
    </row>
    <row r="27" spans="1:7" x14ac:dyDescent="0.2">
      <c r="A27" s="29" t="s">
        <v>136</v>
      </c>
      <c r="B27" s="24" t="s">
        <v>137</v>
      </c>
      <c r="C27" s="29"/>
      <c r="D27" s="29"/>
      <c r="E27" s="29"/>
      <c r="F27" s="29"/>
    </row>
    <row r="28" spans="1:7" x14ac:dyDescent="0.2">
      <c r="A28" s="29" t="s">
        <v>143</v>
      </c>
      <c r="B28" s="24" t="s">
        <v>144</v>
      </c>
      <c r="C28" s="29"/>
      <c r="D28" s="29"/>
      <c r="E28" s="29"/>
      <c r="F28" s="29"/>
    </row>
    <row r="29" spans="1:7" x14ac:dyDescent="0.2">
      <c r="A29" s="29"/>
      <c r="C29" s="29"/>
      <c r="D29" s="29"/>
      <c r="E29" s="29"/>
      <c r="F29" s="29"/>
    </row>
    <row r="30" spans="1:7" x14ac:dyDescent="0.2">
      <c r="A30" s="29"/>
      <c r="C30" s="29"/>
      <c r="D30" s="29"/>
      <c r="E30" s="29"/>
      <c r="F30" s="29"/>
    </row>
    <row r="31" spans="1:7" x14ac:dyDescent="0.2">
      <c r="A31" s="25" t="s">
        <v>14</v>
      </c>
      <c r="B31" s="25"/>
      <c r="C31" s="25"/>
      <c r="D31" s="25"/>
      <c r="E31" s="25"/>
      <c r="F31" s="25"/>
      <c r="G31" s="25"/>
    </row>
    <row r="33" spans="1:7" s="29" customFormat="1" x14ac:dyDescent="0.2">
      <c r="A33" s="29" t="s">
        <v>25</v>
      </c>
      <c r="B33" s="29" t="s">
        <v>38</v>
      </c>
      <c r="C33" s="29" t="s">
        <v>2</v>
      </c>
      <c r="D33" s="30" t="s">
        <v>9</v>
      </c>
      <c r="E33" s="30" t="s">
        <v>3</v>
      </c>
      <c r="F33" s="30" t="s">
        <v>4</v>
      </c>
      <c r="G33" s="30" t="s">
        <v>16</v>
      </c>
    </row>
    <row r="34" spans="1:7" x14ac:dyDescent="0.2">
      <c r="A34" s="24" t="str">
        <f>MatP8815C0Colour</f>
        <v>Not Specified</v>
      </c>
      <c r="B34" s="24" t="str">
        <f>IF(MatP8815C0Code=0,"",MatP8815C0Code)</f>
        <v/>
      </c>
      <c r="C34" s="24" t="str">
        <f>MatP8815C0Desc</f>
        <v>TLE Tile</v>
      </c>
      <c r="D34" s="31">
        <v>108</v>
      </c>
      <c r="E34" s="32">
        <f>MatP8815C0Price</f>
        <v>1.2</v>
      </c>
      <c r="F34" s="33" t="str">
        <f>MatP8815C0PerText</f>
        <v>Each</v>
      </c>
      <c r="G34" s="32">
        <f t="shared" ref="G34:G48" si="0">D34 * E34</f>
        <v>129.6</v>
      </c>
    </row>
    <row r="35" spans="1:7" x14ac:dyDescent="0.2">
      <c r="A35" s="24" t="str">
        <f>MatP10135C0Colour</f>
        <v>Not Specified</v>
      </c>
      <c r="B35" s="24" t="str">
        <f>IF(MatP10135C0Code=0,"",MatP10135C0Code)</f>
        <v/>
      </c>
      <c r="C35" s="24" t="str">
        <f>MatP10135C0Desc</f>
        <v>VP300 Vapour Permeable Underlay (50m x 1m)</v>
      </c>
      <c r="D35" s="31">
        <v>0.5</v>
      </c>
      <c r="E35" s="32">
        <f>MatP10135C0Price</f>
        <v>35</v>
      </c>
      <c r="F35" s="33" t="str">
        <f>MatP10135C0PerText</f>
        <v>Roll</v>
      </c>
      <c r="G35" s="32">
        <f t="shared" si="0"/>
        <v>17.5</v>
      </c>
    </row>
    <row r="36" spans="1:7" x14ac:dyDescent="0.2">
      <c r="A36" s="24" t="str">
        <f>MatP9008C0Colour</f>
        <v>Not Specified</v>
      </c>
      <c r="B36" s="24" t="str">
        <f>IF(MatP9008C0Code=0,"",MatP9008C0Code)</f>
        <v/>
      </c>
      <c r="C36" s="24" t="str">
        <f>MatP9008C0Desc</f>
        <v>Battens (50mm x 25mm)</v>
      </c>
      <c r="D36" s="31">
        <v>32</v>
      </c>
      <c r="E36" s="32">
        <f>MatP9008C0Price</f>
        <v>0.9</v>
      </c>
      <c r="F36" s="33" t="str">
        <f>MatP9008C0PerText</f>
        <v>Metre</v>
      </c>
      <c r="G36" s="32">
        <f t="shared" si="0"/>
        <v>28.8</v>
      </c>
    </row>
    <row r="37" spans="1:7" x14ac:dyDescent="0.2">
      <c r="A37" s="24" t="str">
        <f>MatP8869C0Colour</f>
        <v>Not Specified</v>
      </c>
      <c r="B37" s="24" t="str">
        <f>IF(MatP8869C0Code=0,"",MatP8869C0Code)</f>
        <v/>
      </c>
      <c r="C37" s="24" t="str">
        <f>MatP8869C0Desc</f>
        <v>RH Uni-Fix Dry Verge Unit</v>
      </c>
      <c r="D37" s="31">
        <v>14</v>
      </c>
      <c r="E37" s="32">
        <f>MatP8869C0Price</f>
        <v>1.1000000000000001</v>
      </c>
      <c r="F37" s="33" t="str">
        <f>MatP8869C0PerText</f>
        <v>Each</v>
      </c>
      <c r="G37" s="32">
        <f t="shared" si="0"/>
        <v>15.400000000000002</v>
      </c>
    </row>
    <row r="38" spans="1:7" x14ac:dyDescent="0.2">
      <c r="A38" s="24" t="str">
        <f>MatP8857C0Colour</f>
        <v>Not Specified</v>
      </c>
      <c r="B38" s="24" t="str">
        <f>IF(MatP8857C0Code=0,"",MatP8857C0Code)</f>
        <v/>
      </c>
      <c r="C38" s="24" t="str">
        <f>MatP8857C0Desc</f>
        <v>LH Uni-Fix Dry Verge Unit</v>
      </c>
      <c r="D38" s="31">
        <v>14</v>
      </c>
      <c r="E38" s="32">
        <f>MatP8857C0Price</f>
        <v>1.1000000000000001</v>
      </c>
      <c r="F38" s="33" t="str">
        <f>MatP8857C0PerText</f>
        <v>Each</v>
      </c>
      <c r="G38" s="32">
        <f t="shared" si="0"/>
        <v>15.400000000000002</v>
      </c>
    </row>
    <row r="39" spans="1:7" x14ac:dyDescent="0.2">
      <c r="A39" s="24" t="str">
        <f>MatP8830C20Colour</f>
        <v>Not Specified</v>
      </c>
      <c r="B39" s="24" t="str">
        <f>IF(MatP8830C20Code=0,"",MatP8830C20Code)</f>
        <v/>
      </c>
      <c r="C39" s="24" t="str">
        <f>MatP8830C20Desc</f>
        <v>Dry Verge Starter Unit</v>
      </c>
      <c r="D39" s="31">
        <v>2</v>
      </c>
      <c r="E39" s="32">
        <f>MatP8830C20Price</f>
        <v>1.51</v>
      </c>
      <c r="F39" s="33" t="str">
        <f>MatP8830C20PerText</f>
        <v>Each</v>
      </c>
      <c r="G39" s="32">
        <f t="shared" si="0"/>
        <v>3.02</v>
      </c>
    </row>
    <row r="40" spans="1:7" x14ac:dyDescent="0.2">
      <c r="A40" s="24" t="str">
        <f>MatP8821C20Colour</f>
        <v>Not Specified</v>
      </c>
      <c r="B40" s="24" t="str">
        <f>IF(MatP8821C20Code=0,"",MatP8821C20Code)</f>
        <v/>
      </c>
      <c r="C40" s="24" t="str">
        <f>MatP8821C20Desc</f>
        <v>25mm Over Fascia Vent (1m)</v>
      </c>
      <c r="D40" s="31">
        <v>5</v>
      </c>
      <c r="E40" s="32">
        <f>MatP8821C20Price</f>
        <v>1.9</v>
      </c>
      <c r="F40" s="33" t="str">
        <f>MatP8821C20PerText</f>
        <v>Each</v>
      </c>
      <c r="G40" s="32">
        <f t="shared" si="0"/>
        <v>9.5</v>
      </c>
    </row>
    <row r="41" spans="1:7" x14ac:dyDescent="0.2">
      <c r="A41" s="24" t="str">
        <f>MatP8281C0Colour</f>
        <v>Not Specified</v>
      </c>
      <c r="B41" s="24" t="str">
        <f>IF(MatP8281C0Code=0,"",MatP8281C0Code)</f>
        <v/>
      </c>
      <c r="C41" s="24" t="str">
        <f>MatP8281C0Desc</f>
        <v>Generic Eave Insulation (1m)</v>
      </c>
      <c r="D41" s="31">
        <v>5</v>
      </c>
      <c r="E41" s="32">
        <f>MatP8281C0Price</f>
        <v>5</v>
      </c>
      <c r="F41" s="33" t="str">
        <f>MatP8281C0PerText</f>
        <v>Each</v>
      </c>
      <c r="G41" s="32">
        <f t="shared" si="0"/>
        <v>25</v>
      </c>
    </row>
    <row r="42" spans="1:7" x14ac:dyDescent="0.2">
      <c r="A42" s="24" t="str">
        <f>MatP8866C20Colour</f>
        <v>Not Specified</v>
      </c>
      <c r="B42" s="24" t="str">
        <f>IF(MatP8866C20Code=0,"",MatP8866C20Code)</f>
        <v/>
      </c>
      <c r="C42" s="24" t="str">
        <f>MatP8866C20Desc</f>
        <v>Rafter Roll (6m x 600mm)</v>
      </c>
      <c r="D42" s="31">
        <v>1</v>
      </c>
      <c r="E42" s="32">
        <f>MatP8866C20Price</f>
        <v>9.5</v>
      </c>
      <c r="F42" s="33" t="str">
        <f>MatP8866C20PerText</f>
        <v>Each</v>
      </c>
      <c r="G42" s="32">
        <f t="shared" si="0"/>
        <v>9.5</v>
      </c>
    </row>
    <row r="43" spans="1:7" x14ac:dyDescent="0.2">
      <c r="A43" s="24" t="str">
        <f>MatP8874C20Colour</f>
        <v>Not Specified</v>
      </c>
      <c r="B43" s="24" t="str">
        <f>IF(MatP8874C20Code=0,"",MatP8874C20Code)</f>
        <v/>
      </c>
      <c r="C43" s="24" t="str">
        <f>MatP8874C20Desc</f>
        <v>Underlay Support Tray (1.5m)</v>
      </c>
      <c r="D43" s="31">
        <v>3</v>
      </c>
      <c r="E43" s="32">
        <f>MatP8874C20Price</f>
        <v>1.5</v>
      </c>
      <c r="F43" s="33" t="str">
        <f>MatP8874C20PerText</f>
        <v>Each</v>
      </c>
      <c r="G43" s="32">
        <f t="shared" si="0"/>
        <v>4.5</v>
      </c>
    </row>
    <row r="44" spans="1:7" x14ac:dyDescent="0.2">
      <c r="A44" s="24" t="str">
        <f>MatP8826C539Colour</f>
        <v>Not Specified</v>
      </c>
      <c r="B44" s="24" t="str">
        <f>IF(MatP8826C539Code=0,"",MatP8826C539Code)</f>
        <v/>
      </c>
      <c r="C44" s="24" t="str">
        <f>MatP8826C539Desc</f>
        <v>Metal Batten End Clips</v>
      </c>
      <c r="D44" s="31">
        <v>14</v>
      </c>
      <c r="E44" s="32">
        <f>MatP8826C539Price</f>
        <v>0.28000000000000003</v>
      </c>
      <c r="F44" s="33" t="str">
        <f>MatP8826C539PerText</f>
        <v>Each</v>
      </c>
      <c r="G44" s="32">
        <f t="shared" si="0"/>
        <v>3.9200000000000004</v>
      </c>
    </row>
    <row r="45" spans="1:7" x14ac:dyDescent="0.2">
      <c r="A45" s="24" t="str">
        <f>MatP8831C539Colour</f>
        <v>Not Specified</v>
      </c>
      <c r="B45" s="24" t="str">
        <f>IF(MatP8831C539Code=0,"",MatP8831C539Code)</f>
        <v/>
      </c>
      <c r="C45" s="24" t="str">
        <f>MatP8831C539Desc</f>
        <v>Eave Clip</v>
      </c>
      <c r="D45" s="31">
        <v>15</v>
      </c>
      <c r="E45" s="32">
        <f>MatP8831C539Price</f>
        <v>0.1</v>
      </c>
      <c r="F45" s="33" t="str">
        <f>MatP8831C539PerText</f>
        <v>Each</v>
      </c>
      <c r="G45" s="32">
        <f t="shared" si="0"/>
        <v>1.5</v>
      </c>
    </row>
    <row r="46" spans="1:7" x14ac:dyDescent="0.2">
      <c r="A46" s="24" t="str">
        <f>MatP9318C0Colour</f>
        <v>Not Specified</v>
      </c>
      <c r="B46" s="24" t="str">
        <f>IF(MatP9318C0Code=0,"",MatP9318C0Code)</f>
        <v/>
      </c>
      <c r="C46" s="24" t="str">
        <f>MatP9318C0Desc</f>
        <v>45mm x 3.35mm Aluminium Nails</v>
      </c>
      <c r="D46" s="31">
        <v>0.9999999962747097</v>
      </c>
      <c r="E46" s="32">
        <f>MatP9318C0Price</f>
        <v>7.28</v>
      </c>
      <c r="F46" s="33" t="str">
        <f>MatP9318C0PerText</f>
        <v>Kg</v>
      </c>
      <c r="G46" s="32">
        <f t="shared" si="0"/>
        <v>7.279999972879887</v>
      </c>
    </row>
    <row r="47" spans="1:7" x14ac:dyDescent="0.2">
      <c r="A47" s="24" t="str">
        <f>MatP9100C0Colour</f>
        <v>Not Specified</v>
      </c>
      <c r="B47" s="24" t="str">
        <f>IF(MatP9100C0Code=0,"",MatP9100C0Code)</f>
        <v/>
      </c>
      <c r="C47" s="24" t="str">
        <f>MatP9100C0Desc</f>
        <v>Batten Nails - 65mm x 3.35mm Galvanised</v>
      </c>
      <c r="D47" s="31">
        <v>1</v>
      </c>
      <c r="E47" s="32">
        <f>MatP9100C0Price</f>
        <v>4.5</v>
      </c>
      <c r="F47" s="33" t="str">
        <f>MatP9100C0PerText</f>
        <v>Kg</v>
      </c>
      <c r="G47" s="32">
        <f t="shared" si="0"/>
        <v>4.5</v>
      </c>
    </row>
    <row r="48" spans="1:7" x14ac:dyDescent="0.2">
      <c r="A48" s="24" t="str">
        <f>MatP9066C92Colour</f>
        <v>Not Specified</v>
      </c>
      <c r="B48" s="24" t="str">
        <f>IF(MatP9066C92Code=0,"",MatP9066C92Code)</f>
        <v/>
      </c>
      <c r="C48" s="24" t="str">
        <f>MatP9066C92Desc</f>
        <v>Lead Code 4 - 300mm (6m)</v>
      </c>
      <c r="D48" s="31">
        <v>6</v>
      </c>
      <c r="E48" s="32">
        <f>MatP9066C92Price</f>
        <v>15.21</v>
      </c>
      <c r="F48" s="33" t="str">
        <f>MatP9066C92PerText</f>
        <v>Metre</v>
      </c>
      <c r="G48" s="32">
        <f t="shared" si="0"/>
        <v>91.26</v>
      </c>
    </row>
    <row r="49" spans="1:7" x14ac:dyDescent="0.2">
      <c r="D49" s="31"/>
      <c r="E49" s="32"/>
      <c r="F49" s="33"/>
      <c r="G49" s="32"/>
    </row>
    <row r="50" spans="1:7" x14ac:dyDescent="0.2">
      <c r="F50" s="34" t="s">
        <v>5</v>
      </c>
      <c r="G50" s="35">
        <f>SUM(G34:G49)</f>
        <v>366.6799999728799</v>
      </c>
    </row>
    <row r="51" spans="1:7" x14ac:dyDescent="0.2">
      <c r="G51" s="34"/>
    </row>
    <row r="52" spans="1:7" x14ac:dyDescent="0.2">
      <c r="A52" s="25" t="s">
        <v>15</v>
      </c>
      <c r="B52" s="25"/>
      <c r="D52" s="25"/>
      <c r="E52" s="25"/>
      <c r="F52" s="25"/>
      <c r="G52" s="25"/>
    </row>
    <row r="54" spans="1:7" x14ac:dyDescent="0.2">
      <c r="A54" s="102" t="s">
        <v>6</v>
      </c>
      <c r="B54" s="102"/>
      <c r="C54" s="102"/>
      <c r="D54" s="34" t="s">
        <v>7</v>
      </c>
      <c r="E54" s="34" t="s">
        <v>9</v>
      </c>
      <c r="F54" s="34" t="s">
        <v>8</v>
      </c>
      <c r="G54" s="34" t="s">
        <v>16</v>
      </c>
    </row>
    <row r="55" spans="1:7" x14ac:dyDescent="0.2">
      <c r="A55" s="103" t="str">
        <f>LabP8815R6L1G1Desc</f>
        <v>Main Area</v>
      </c>
      <c r="B55" s="103"/>
      <c r="C55" s="103"/>
      <c r="D55" s="36">
        <f>LabP8815R6L1G1Rate</f>
        <v>9</v>
      </c>
      <c r="E55" s="37">
        <f>'RUF-DET-Lower Level'!Area</f>
        <v>9.99</v>
      </c>
      <c r="F55" s="27" t="str">
        <f xml:space="preserve"> "" &amp; LabP8815R6L1G1Per</f>
        <v>m²</v>
      </c>
      <c r="G55" s="36">
        <f>D55 * E55</f>
        <v>89.91</v>
      </c>
    </row>
    <row r="56" spans="1:7" x14ac:dyDescent="0.2">
      <c r="A56" s="24" t="str">
        <f>LabP8815R0L1G2Desc</f>
        <v>Eave</v>
      </c>
      <c r="D56" s="36">
        <f>LabP8815R0L1G2Rate</f>
        <v>2.5</v>
      </c>
      <c r="E56" s="37">
        <f>'RUF-DET-Lower Level'!Eave</f>
        <v>4.4000000000000004</v>
      </c>
      <c r="F56" s="27" t="str">
        <f xml:space="preserve"> "" &amp; LabP8815R0L1G2Per</f>
        <v>m</v>
      </c>
      <c r="G56" s="36">
        <f>D56 * E56</f>
        <v>11</v>
      </c>
    </row>
    <row r="57" spans="1:7" x14ac:dyDescent="0.2">
      <c r="A57" s="24" t="str">
        <f>LabP8815R0L1G3Desc</f>
        <v>Verge</v>
      </c>
      <c r="D57" s="36">
        <f>LabP8815R0L1G3Rate</f>
        <v>2.5</v>
      </c>
      <c r="E57" s="37">
        <f>LeftVerge+RightVerge</f>
        <v>4.54</v>
      </c>
      <c r="F57" s="27" t="str">
        <f xml:space="preserve"> "" &amp; LabP8815R0L1G3Per</f>
        <v>m</v>
      </c>
      <c r="G57" s="36">
        <f>D57 * E57</f>
        <v>11.35</v>
      </c>
    </row>
    <row r="58" spans="1:7" x14ac:dyDescent="0.2">
      <c r="A58" s="24" t="str">
        <f>LabP8815R15L1G243Desc</f>
        <v>Apron Flashing (Code 4)</v>
      </c>
      <c r="D58" s="36">
        <f>LabP8815R15L1G243Rate</f>
        <v>15</v>
      </c>
      <c r="E58" s="37">
        <v>4.4000000000000004</v>
      </c>
      <c r="F58" s="27" t="str">
        <f xml:space="preserve"> "" &amp; LabP8815R15L1G243Per</f>
        <v>m</v>
      </c>
      <c r="G58" s="36">
        <f>D58 * E58</f>
        <v>66</v>
      </c>
    </row>
    <row r="59" spans="1:7" x14ac:dyDescent="0.2">
      <c r="A59" s="24" t="str">
        <f>LabP8815R150LabLabourforLowerLevelDesc</f>
        <v>Labour for Lower Level</v>
      </c>
      <c r="D59" s="36">
        <f>LabP8815R150LabLabourforLowerLevelRate</f>
        <v>150</v>
      </c>
      <c r="E59" s="37">
        <v>1</v>
      </c>
      <c r="F59" s="27" t="str">
        <f xml:space="preserve"> "" &amp; LabP8815R150LabLabourforLowerLevelPer</f>
        <v/>
      </c>
      <c r="G59" s="36">
        <f>D59 * E59</f>
        <v>150</v>
      </c>
    </row>
    <row r="60" spans="1:7" x14ac:dyDescent="0.2">
      <c r="D60" s="36"/>
      <c r="E60" s="37"/>
      <c r="F60" s="27"/>
      <c r="G60" s="36"/>
    </row>
    <row r="61" spans="1:7" x14ac:dyDescent="0.2">
      <c r="A61" s="103"/>
      <c r="B61" s="103"/>
      <c r="C61" s="103"/>
      <c r="D61" s="36"/>
      <c r="E61" s="37"/>
      <c r="G61" s="36"/>
    </row>
    <row r="62" spans="1:7" x14ac:dyDescent="0.2">
      <c r="F62" s="34" t="s">
        <v>5</v>
      </c>
      <c r="G62" s="35">
        <f>SUM(G55:G61)</f>
        <v>328.26</v>
      </c>
    </row>
    <row r="66" spans="1:3" x14ac:dyDescent="0.2">
      <c r="A66" s="34"/>
      <c r="B66" s="38"/>
    </row>
    <row r="68" spans="1:3" x14ac:dyDescent="0.2">
      <c r="A68" s="34"/>
      <c r="B68" s="38"/>
    </row>
    <row r="70" spans="1:3" x14ac:dyDescent="0.2">
      <c r="A70" s="34"/>
      <c r="B70" s="38"/>
    </row>
    <row r="72" spans="1:3" x14ac:dyDescent="0.2">
      <c r="A72" s="34"/>
      <c r="B72" s="38"/>
    </row>
    <row r="75" spans="1:3" x14ac:dyDescent="0.2">
      <c r="A75" s="34"/>
      <c r="B75" s="38"/>
      <c r="C75" s="39"/>
    </row>
    <row r="77" spans="1:3" x14ac:dyDescent="0.2">
      <c r="A77" s="34"/>
      <c r="B77" s="38"/>
    </row>
    <row r="79" spans="1:3" x14ac:dyDescent="0.2">
      <c r="A79" s="34"/>
      <c r="B79" s="38"/>
      <c r="C79" s="39"/>
    </row>
    <row r="81" spans="1:3" x14ac:dyDescent="0.2">
      <c r="A81" s="34"/>
      <c r="B81" s="38"/>
    </row>
    <row r="83" spans="1:3" x14ac:dyDescent="0.2">
      <c r="A83" s="34"/>
      <c r="B83" s="38"/>
    </row>
    <row r="86" spans="1:3" x14ac:dyDescent="0.2">
      <c r="A86" s="34"/>
      <c r="B86" s="38"/>
    </row>
    <row r="88" spans="1:3" x14ac:dyDescent="0.2">
      <c r="A88" s="34"/>
      <c r="B88" s="38"/>
    </row>
    <row r="90" spans="1:3" x14ac:dyDescent="0.2">
      <c r="A90" s="34"/>
      <c r="B90" s="38"/>
      <c r="C90" s="39"/>
    </row>
    <row r="93" spans="1:3" x14ac:dyDescent="0.2">
      <c r="A93" s="34"/>
      <c r="B93" s="40"/>
      <c r="C93" s="23"/>
    </row>
    <row r="96" spans="1:3" x14ac:dyDescent="0.2">
      <c r="A96" s="39"/>
      <c r="B96" s="41"/>
    </row>
  </sheetData>
  <mergeCells count="5">
    <mergeCell ref="B4:F4"/>
    <mergeCell ref="B5:F5"/>
    <mergeCell ref="A54:C54"/>
    <mergeCell ref="A55:C55"/>
    <mergeCell ref="A61:C61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74CE5-2DE9-46D6-B8B8-92949B968C7D}">
  <dimension ref="A1:G102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204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139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131.82</v>
      </c>
      <c r="C9" s="23"/>
      <c r="D9" s="26"/>
    </row>
    <row r="10" spans="1:7" x14ac:dyDescent="0.2">
      <c r="A10" s="23" t="s">
        <v>114</v>
      </c>
      <c r="B10" s="24">
        <v>26</v>
      </c>
      <c r="C10" s="23"/>
      <c r="D10" s="26"/>
    </row>
    <row r="11" spans="1:7" x14ac:dyDescent="0.2">
      <c r="A11" s="23" t="s">
        <v>115</v>
      </c>
      <c r="B11" s="24">
        <v>10.14</v>
      </c>
      <c r="C11" s="23"/>
      <c r="D11" s="26"/>
    </row>
    <row r="12" spans="1:7" x14ac:dyDescent="0.2">
      <c r="A12" s="23" t="s">
        <v>116</v>
      </c>
      <c r="B12" s="24">
        <v>10.14</v>
      </c>
      <c r="C12" s="23"/>
      <c r="D12" s="26"/>
    </row>
    <row r="13" spans="1:7" x14ac:dyDescent="0.2">
      <c r="A13" s="23" t="s">
        <v>117</v>
      </c>
      <c r="B13" s="24">
        <v>13</v>
      </c>
      <c r="C13" s="23"/>
      <c r="D13" s="26"/>
    </row>
    <row r="14" spans="1:7" x14ac:dyDescent="0.2">
      <c r="A14" s="23" t="s">
        <v>118</v>
      </c>
      <c r="B14" s="24">
        <v>10.14</v>
      </c>
      <c r="C14" s="23"/>
      <c r="D14" s="26"/>
    </row>
    <row r="15" spans="1:7" x14ac:dyDescent="0.2">
      <c r="A15" s="23" t="s">
        <v>119</v>
      </c>
      <c r="B15" s="24">
        <v>600</v>
      </c>
      <c r="C15" s="23"/>
      <c r="D15" s="26"/>
    </row>
    <row r="16" spans="1:7" x14ac:dyDescent="0.2">
      <c r="A16" s="23" t="s">
        <v>120</v>
      </c>
      <c r="B16" s="24">
        <v>35</v>
      </c>
      <c r="C16" s="23"/>
      <c r="D16" s="26"/>
    </row>
    <row r="17" spans="1:7" x14ac:dyDescent="0.2">
      <c r="A17" s="23"/>
      <c r="C17" s="23"/>
      <c r="D17" s="26"/>
    </row>
    <row r="18" spans="1:7" x14ac:dyDescent="0.2">
      <c r="A18" s="23"/>
      <c r="B18" s="27"/>
      <c r="C18" s="23"/>
      <c r="D18" s="26"/>
    </row>
    <row r="19" spans="1:7" x14ac:dyDescent="0.2">
      <c r="A19" s="28" t="s">
        <v>10</v>
      </c>
      <c r="B19" s="28"/>
      <c r="C19" s="28"/>
      <c r="D19" s="28"/>
      <c r="E19" s="28"/>
      <c r="F19" s="28"/>
      <c r="G19" s="28"/>
    </row>
    <row r="20" spans="1:7" x14ac:dyDescent="0.2">
      <c r="A20" s="28"/>
      <c r="B20" s="28"/>
      <c r="C20" s="28"/>
      <c r="D20" s="28"/>
      <c r="E20" s="28"/>
      <c r="F20" s="28"/>
      <c r="G20" s="28"/>
    </row>
    <row r="21" spans="1:7" x14ac:dyDescent="0.2">
      <c r="A21" s="29" t="s">
        <v>121</v>
      </c>
      <c r="B21" s="24" t="s">
        <v>122</v>
      </c>
      <c r="C21" s="29"/>
      <c r="D21" s="29"/>
      <c r="E21" s="29"/>
      <c r="F21" s="29"/>
    </row>
    <row r="22" spans="1:7" x14ac:dyDescent="0.2">
      <c r="A22" s="29" t="s">
        <v>123</v>
      </c>
      <c r="B22" s="24" t="s">
        <v>124</v>
      </c>
      <c r="C22" s="29"/>
      <c r="D22" s="29"/>
      <c r="E22" s="29"/>
      <c r="F22" s="29"/>
    </row>
    <row r="23" spans="1:7" x14ac:dyDescent="0.2">
      <c r="A23" s="29"/>
      <c r="B23" s="24" t="s">
        <v>125</v>
      </c>
      <c r="C23" s="29"/>
      <c r="D23" s="29"/>
      <c r="E23" s="29"/>
      <c r="F23" s="29"/>
    </row>
    <row r="24" spans="1:7" x14ac:dyDescent="0.2">
      <c r="A24" s="29" t="s">
        <v>126</v>
      </c>
      <c r="B24" s="24" t="s">
        <v>127</v>
      </c>
      <c r="C24" s="29"/>
      <c r="D24" s="29"/>
      <c r="E24" s="29"/>
      <c r="F24" s="29"/>
    </row>
    <row r="25" spans="1:7" x14ac:dyDescent="0.2">
      <c r="A25" s="29"/>
      <c r="B25" s="24" t="s">
        <v>128</v>
      </c>
      <c r="C25" s="29"/>
      <c r="D25" s="29"/>
      <c r="E25" s="29"/>
      <c r="F25" s="29"/>
    </row>
    <row r="26" spans="1:7" x14ac:dyDescent="0.2">
      <c r="A26" s="29" t="s">
        <v>129</v>
      </c>
      <c r="B26" s="24" t="s">
        <v>130</v>
      </c>
      <c r="C26" s="29"/>
      <c r="D26" s="29"/>
      <c r="E26" s="29"/>
      <c r="F26" s="29"/>
    </row>
    <row r="27" spans="1:7" x14ac:dyDescent="0.2">
      <c r="A27" s="29"/>
      <c r="B27" s="24" t="s">
        <v>150</v>
      </c>
      <c r="C27" s="29"/>
      <c r="D27" s="29"/>
      <c r="E27" s="29"/>
      <c r="F27" s="29"/>
    </row>
    <row r="28" spans="1:7" x14ac:dyDescent="0.2">
      <c r="A28" s="29" t="s">
        <v>132</v>
      </c>
      <c r="B28" s="24" t="s">
        <v>133</v>
      </c>
      <c r="C28" s="29"/>
      <c r="D28" s="29"/>
      <c r="E28" s="29"/>
      <c r="F28" s="29"/>
    </row>
    <row r="29" spans="1:7" x14ac:dyDescent="0.2">
      <c r="A29" s="29" t="s">
        <v>134</v>
      </c>
      <c r="B29" s="24" t="s">
        <v>135</v>
      </c>
      <c r="C29" s="29"/>
      <c r="D29" s="29"/>
      <c r="E29" s="29"/>
      <c r="F29" s="29"/>
    </row>
    <row r="30" spans="1:7" x14ac:dyDescent="0.2">
      <c r="A30" s="29" t="s">
        <v>136</v>
      </c>
      <c r="B30" s="24" t="s">
        <v>137</v>
      </c>
      <c r="C30" s="29"/>
      <c r="D30" s="29"/>
      <c r="E30" s="29"/>
      <c r="F30" s="29"/>
    </row>
    <row r="31" spans="1:7" x14ac:dyDescent="0.2">
      <c r="A31" s="29"/>
      <c r="C31" s="29"/>
      <c r="D31" s="29"/>
      <c r="E31" s="29"/>
      <c r="F31" s="29"/>
    </row>
    <row r="32" spans="1:7" x14ac:dyDescent="0.2">
      <c r="A32" s="29"/>
      <c r="C32" s="29"/>
      <c r="D32" s="29"/>
      <c r="E32" s="29"/>
      <c r="F32" s="29"/>
    </row>
    <row r="33" spans="1:7" x14ac:dyDescent="0.2">
      <c r="A33" s="25" t="s">
        <v>14</v>
      </c>
      <c r="B33" s="25"/>
      <c r="C33" s="25"/>
      <c r="D33" s="25"/>
      <c r="E33" s="25"/>
      <c r="F33" s="25"/>
      <c r="G33" s="25"/>
    </row>
    <row r="35" spans="1:7" s="29" customFormat="1" x14ac:dyDescent="0.2">
      <c r="A35" s="29" t="s">
        <v>25</v>
      </c>
      <c r="B35" s="29" t="s">
        <v>38</v>
      </c>
      <c r="C35" s="29" t="s">
        <v>2</v>
      </c>
      <c r="D35" s="30" t="s">
        <v>9</v>
      </c>
      <c r="E35" s="30" t="s">
        <v>3</v>
      </c>
      <c r="F35" s="30" t="s">
        <v>4</v>
      </c>
      <c r="G35" s="30" t="s">
        <v>16</v>
      </c>
    </row>
    <row r="36" spans="1:7" x14ac:dyDescent="0.2">
      <c r="A36" s="24" t="str">
        <f>MatP8815C0Colour</f>
        <v>Not Specified</v>
      </c>
      <c r="B36" s="24" t="str">
        <f>IF(MatP8815C0Code=0,"",MatP8815C0Code)</f>
        <v/>
      </c>
      <c r="C36" s="24" t="str">
        <f>MatP8815C0Desc</f>
        <v>TLE Tile</v>
      </c>
      <c r="D36" s="31">
        <v>1360</v>
      </c>
      <c r="E36" s="32">
        <f>MatP8815C0Price</f>
        <v>1.2</v>
      </c>
      <c r="F36" s="33" t="str">
        <f>MatP8815C0PerText</f>
        <v>Each</v>
      </c>
      <c r="G36" s="32">
        <f t="shared" ref="G36:G54" si="0">D36 * E36</f>
        <v>1632</v>
      </c>
    </row>
    <row r="37" spans="1:7" x14ac:dyDescent="0.2">
      <c r="A37" s="24" t="str">
        <f>MatP8870C0Colour</f>
        <v>Not Specified</v>
      </c>
      <c r="B37" s="24" t="str">
        <f>IF(MatP8870C0Code=0,"",MatP8870C0Code)</f>
        <v/>
      </c>
      <c r="C37" s="24" t="str">
        <f>MatP8870C0Desc</f>
        <v>Ridge Tile (450mm)</v>
      </c>
      <c r="D37" s="31">
        <v>29</v>
      </c>
      <c r="E37" s="32">
        <f>MatP8870C0Price</f>
        <v>3.64</v>
      </c>
      <c r="F37" s="33" t="str">
        <f>MatP8870C0PerText</f>
        <v>Each</v>
      </c>
      <c r="G37" s="32">
        <f t="shared" si="0"/>
        <v>105.56</v>
      </c>
    </row>
    <row r="38" spans="1:7" x14ac:dyDescent="0.2">
      <c r="A38" s="24" t="str">
        <f>MatP10135C0Colour</f>
        <v>Not Specified</v>
      </c>
      <c r="B38" s="24" t="str">
        <f>IF(MatP10135C0Code=0,"",MatP10135C0Code)</f>
        <v/>
      </c>
      <c r="C38" s="24" t="str">
        <f>MatP10135C0Desc</f>
        <v>VP300 Vapour Permeable Underlay (50m x 1m)</v>
      </c>
      <c r="D38" s="31">
        <v>4</v>
      </c>
      <c r="E38" s="32">
        <f>MatP10135C0Price</f>
        <v>35</v>
      </c>
      <c r="F38" s="33" t="str">
        <f>MatP10135C0PerText</f>
        <v>Roll</v>
      </c>
      <c r="G38" s="32">
        <f t="shared" si="0"/>
        <v>140</v>
      </c>
    </row>
    <row r="39" spans="1:7" x14ac:dyDescent="0.2">
      <c r="A39" s="24" t="str">
        <f>MatP9008C0Colour</f>
        <v>Not Specified</v>
      </c>
      <c r="B39" s="24" t="str">
        <f>IF(MatP9008C0Code=0,"",MatP9008C0Code)</f>
        <v/>
      </c>
      <c r="C39" s="24" t="str">
        <f>MatP9008C0Desc</f>
        <v>Battens (50mm x 25mm)</v>
      </c>
      <c r="D39" s="31">
        <v>450</v>
      </c>
      <c r="E39" s="32">
        <f>MatP9008C0Price</f>
        <v>0.9</v>
      </c>
      <c r="F39" s="33" t="str">
        <f>MatP9008C0PerText</f>
        <v>Metre</v>
      </c>
      <c r="G39" s="32">
        <f t="shared" si="0"/>
        <v>405</v>
      </c>
    </row>
    <row r="40" spans="1:7" x14ac:dyDescent="0.2">
      <c r="A40" s="24" t="str">
        <f>MatP8879C15Colour</f>
        <v>Not Specified</v>
      </c>
      <c r="B40" s="24" t="str">
        <f>IF(MatP8879C15Code=0,"",MatP8879C15Code)</f>
        <v/>
      </c>
      <c r="C40" s="24" t="str">
        <f>MatP8879C15Desc</f>
        <v>Universal Dry Ridge/Hip System (6m)</v>
      </c>
      <c r="D40" s="31">
        <v>3</v>
      </c>
      <c r="E40" s="32">
        <f>MatP8879C15Price</f>
        <v>28.09</v>
      </c>
      <c r="F40" s="33" t="str">
        <f>MatP8879C15PerText</f>
        <v>Pack</v>
      </c>
      <c r="G40" s="32">
        <f t="shared" si="0"/>
        <v>84.27</v>
      </c>
    </row>
    <row r="41" spans="1:7" x14ac:dyDescent="0.2">
      <c r="A41" s="24" t="str">
        <f>MatP8857C0Colour</f>
        <v>Not Specified</v>
      </c>
      <c r="B41" s="24" t="str">
        <f>IF(MatP8857C0Code=0,"",MatP8857C0Code)</f>
        <v/>
      </c>
      <c r="C41" s="24" t="str">
        <f>MatP8857C0Desc</f>
        <v>LH Uni-Fix Dry Verge Unit</v>
      </c>
      <c r="D41" s="31">
        <v>60</v>
      </c>
      <c r="E41" s="32">
        <f>MatP8857C0Price</f>
        <v>1.1000000000000001</v>
      </c>
      <c r="F41" s="33" t="str">
        <f>MatP8857C0PerText</f>
        <v>Each</v>
      </c>
      <c r="G41" s="32">
        <f t="shared" si="0"/>
        <v>66</v>
      </c>
    </row>
    <row r="42" spans="1:7" x14ac:dyDescent="0.2">
      <c r="A42" s="24" t="str">
        <f>MatP8869C0Colour</f>
        <v>Not Specified</v>
      </c>
      <c r="B42" s="24" t="str">
        <f>IF(MatP8869C0Code=0,"",MatP8869C0Code)</f>
        <v/>
      </c>
      <c r="C42" s="24" t="str">
        <f>MatP8869C0Desc</f>
        <v>RH Uni-Fix Dry Verge Unit</v>
      </c>
      <c r="D42" s="31">
        <v>60</v>
      </c>
      <c r="E42" s="32">
        <f>MatP8869C0Price</f>
        <v>1.1000000000000001</v>
      </c>
      <c r="F42" s="33" t="str">
        <f>MatP8869C0PerText</f>
        <v>Each</v>
      </c>
      <c r="G42" s="32">
        <f t="shared" si="0"/>
        <v>66</v>
      </c>
    </row>
    <row r="43" spans="1:7" x14ac:dyDescent="0.2">
      <c r="A43" s="24" t="str">
        <f>MatP8877C0Colour</f>
        <v>Not Specified</v>
      </c>
      <c r="B43" s="24" t="str">
        <f>IF(MatP8877C0Code=0,"",MatP8877C0Code)</f>
        <v/>
      </c>
      <c r="C43" s="24" t="str">
        <f>MatP8877C0Desc</f>
        <v>Uni-Fix Universal Ridge End Cap</v>
      </c>
      <c r="D43" s="31">
        <v>2</v>
      </c>
      <c r="E43" s="32">
        <f>MatP8877C0Price</f>
        <v>1.6</v>
      </c>
      <c r="F43" s="33" t="str">
        <f>MatP8877C0PerText</f>
        <v>Each</v>
      </c>
      <c r="G43" s="32">
        <f t="shared" si="0"/>
        <v>3.2</v>
      </c>
    </row>
    <row r="44" spans="1:7" x14ac:dyDescent="0.2">
      <c r="A44" s="24" t="str">
        <f>MatP8830C20Colour</f>
        <v>Not Specified</v>
      </c>
      <c r="B44" s="24" t="str">
        <f>IF(MatP8830C20Code=0,"",MatP8830C20Code)</f>
        <v/>
      </c>
      <c r="C44" s="24" t="str">
        <f>MatP8830C20Desc</f>
        <v>Dry Verge Starter Unit</v>
      </c>
      <c r="D44" s="31">
        <v>4</v>
      </c>
      <c r="E44" s="32">
        <f>MatP8830C20Price</f>
        <v>1.51</v>
      </c>
      <c r="F44" s="33" t="str">
        <f>MatP8830C20PerText</f>
        <v>Each</v>
      </c>
      <c r="G44" s="32">
        <f t="shared" si="0"/>
        <v>6.04</v>
      </c>
    </row>
    <row r="45" spans="1:7" x14ac:dyDescent="0.2">
      <c r="A45" s="24" t="str">
        <f>MatP8281C0Colour</f>
        <v>Not Specified</v>
      </c>
      <c r="B45" s="24" t="str">
        <f>IF(MatP8281C0Code=0,"",MatP8281C0Code)</f>
        <v/>
      </c>
      <c r="C45" s="24" t="str">
        <f>MatP8281C0Desc</f>
        <v>Generic Eave Insulation (1m)</v>
      </c>
      <c r="D45" s="31">
        <v>26</v>
      </c>
      <c r="E45" s="32">
        <f>MatP8281C0Price</f>
        <v>5</v>
      </c>
      <c r="F45" s="33" t="str">
        <f>MatP8281C0PerText</f>
        <v>Each</v>
      </c>
      <c r="G45" s="32">
        <f t="shared" si="0"/>
        <v>130</v>
      </c>
    </row>
    <row r="46" spans="1:7" x14ac:dyDescent="0.2">
      <c r="A46" s="24" t="str">
        <f>MatP8820C20Colour</f>
        <v>Not Specified</v>
      </c>
      <c r="B46" s="24" t="str">
        <f>IF(MatP8820C20Code=0,"",MatP8820C20Code)</f>
        <v/>
      </c>
      <c r="C46" s="24" t="str">
        <f>MatP8820C20Desc</f>
        <v>10mm Over Fascia Vent (1m)</v>
      </c>
      <c r="D46" s="31">
        <v>26</v>
      </c>
      <c r="E46" s="32">
        <f>MatP8820C20Price</f>
        <v>1.7</v>
      </c>
      <c r="F46" s="33" t="str">
        <f>MatP8820C20PerText</f>
        <v>Each</v>
      </c>
      <c r="G46" s="32">
        <f t="shared" si="0"/>
        <v>44.199999999999996</v>
      </c>
    </row>
    <row r="47" spans="1:7" x14ac:dyDescent="0.2">
      <c r="A47" s="24" t="str">
        <f>MatP8624C0Colour</f>
        <v>Not Specified</v>
      </c>
      <c r="B47" s="24" t="str">
        <f>IF(MatP8624C0Code=0,"",MatP8624C0Code)</f>
        <v/>
      </c>
      <c r="C47" s="24" t="str">
        <f>MatP8624C0Desc</f>
        <v>Generic Party Wall Insulation (1m)</v>
      </c>
      <c r="D47" s="31">
        <v>11</v>
      </c>
      <c r="E47" s="32">
        <f>MatP8624C0Price</f>
        <v>5</v>
      </c>
      <c r="F47" s="33" t="str">
        <f>MatP8624C0PerText</f>
        <v>Each</v>
      </c>
      <c r="G47" s="32">
        <f t="shared" si="0"/>
        <v>55</v>
      </c>
    </row>
    <row r="48" spans="1:7" x14ac:dyDescent="0.2">
      <c r="A48" s="24" t="str">
        <f>MatP8866C20Colour</f>
        <v>Not Specified</v>
      </c>
      <c r="B48" s="24" t="str">
        <f>IF(MatP8866C20Code=0,"",MatP8866C20Code)</f>
        <v/>
      </c>
      <c r="C48" s="24" t="str">
        <f>MatP8866C20Desc</f>
        <v>Rafter Roll (6m x 600mm)</v>
      </c>
      <c r="D48" s="31">
        <v>5</v>
      </c>
      <c r="E48" s="32">
        <f>MatP8866C20Price</f>
        <v>9.5</v>
      </c>
      <c r="F48" s="33" t="str">
        <f>MatP8866C20PerText</f>
        <v>Each</v>
      </c>
      <c r="G48" s="32">
        <f t="shared" si="0"/>
        <v>47.5</v>
      </c>
    </row>
    <row r="49" spans="1:7" x14ac:dyDescent="0.2">
      <c r="A49" s="24" t="str">
        <f>MatP8874C20Colour</f>
        <v>Not Specified</v>
      </c>
      <c r="B49" s="24" t="str">
        <f>IF(MatP8874C20Code=0,"",MatP8874C20Code)</f>
        <v/>
      </c>
      <c r="C49" s="24" t="str">
        <f>MatP8874C20Desc</f>
        <v>Underlay Support Tray (1.5m)</v>
      </c>
      <c r="D49" s="31">
        <v>18</v>
      </c>
      <c r="E49" s="32">
        <f>MatP8874C20Price</f>
        <v>1.5</v>
      </c>
      <c r="F49" s="33" t="str">
        <f>MatP8874C20PerText</f>
        <v>Each</v>
      </c>
      <c r="G49" s="32">
        <f t="shared" si="0"/>
        <v>27</v>
      </c>
    </row>
    <row r="50" spans="1:7" x14ac:dyDescent="0.2">
      <c r="A50" s="24" t="str">
        <f>MatP8872C539Colour</f>
        <v>Not Specified</v>
      </c>
      <c r="B50" s="24" t="str">
        <f>IF(MatP8872C539Code=0,"",MatP8872C539Code)</f>
        <v/>
      </c>
      <c r="C50" s="24" t="str">
        <f>MatP8872C539Desc</f>
        <v>Sidelock Tile Clips (TLE)</v>
      </c>
      <c r="D50" s="31">
        <v>542</v>
      </c>
      <c r="E50" s="32">
        <f>MatP8872C539Price</f>
        <v>7.0000000000000007E-2</v>
      </c>
      <c r="F50" s="33" t="str">
        <f>MatP8872C539PerText</f>
        <v>Each</v>
      </c>
      <c r="G50" s="32">
        <f t="shared" si="0"/>
        <v>37.940000000000005</v>
      </c>
    </row>
    <row r="51" spans="1:7" x14ac:dyDescent="0.2">
      <c r="A51" s="24" t="str">
        <f>MatP8826C539Colour</f>
        <v>Not Specified</v>
      </c>
      <c r="B51" s="24" t="str">
        <f>IF(MatP8826C539Code=0,"",MatP8826C539Code)</f>
        <v/>
      </c>
      <c r="C51" s="24" t="str">
        <f>MatP8826C539Desc</f>
        <v>Metal Batten End Clips</v>
      </c>
      <c r="D51" s="31">
        <v>60</v>
      </c>
      <c r="E51" s="32">
        <f>MatP8826C539Price</f>
        <v>0.28000000000000003</v>
      </c>
      <c r="F51" s="33" t="str">
        <f>MatP8826C539PerText</f>
        <v>Each</v>
      </c>
      <c r="G51" s="32">
        <f t="shared" si="0"/>
        <v>16.8</v>
      </c>
    </row>
    <row r="52" spans="1:7" x14ac:dyDescent="0.2">
      <c r="A52" s="24" t="str">
        <f>MatP8831C539Colour</f>
        <v>Not Specified</v>
      </c>
      <c r="B52" s="24" t="str">
        <f>IF(MatP8831C539Code=0,"",MatP8831C539Code)</f>
        <v/>
      </c>
      <c r="C52" s="24" t="str">
        <f>MatP8831C539Desc</f>
        <v>Eave Clip</v>
      </c>
      <c r="D52" s="31">
        <v>88</v>
      </c>
      <c r="E52" s="32">
        <f>MatP8831C539Price</f>
        <v>0.1</v>
      </c>
      <c r="F52" s="33" t="str">
        <f>MatP8831C539PerText</f>
        <v>Each</v>
      </c>
      <c r="G52" s="32">
        <f t="shared" si="0"/>
        <v>8.8000000000000007</v>
      </c>
    </row>
    <row r="53" spans="1:7" x14ac:dyDescent="0.2">
      <c r="A53" s="24" t="str">
        <f>MatP9318C0Colour</f>
        <v>Not Specified</v>
      </c>
      <c r="B53" s="24" t="str">
        <f>IF(MatP9318C0Code=0,"",MatP9318C0Code)</f>
        <v/>
      </c>
      <c r="C53" s="24" t="str">
        <f>MatP9318C0Desc</f>
        <v>45mm x 3.35mm Aluminium Nails</v>
      </c>
      <c r="D53" s="31">
        <v>4</v>
      </c>
      <c r="E53" s="32">
        <f>MatP9318C0Price</f>
        <v>7.28</v>
      </c>
      <c r="F53" s="33" t="str">
        <f>MatP9318C0PerText</f>
        <v>Kg</v>
      </c>
      <c r="G53" s="32">
        <f t="shared" si="0"/>
        <v>29.12</v>
      </c>
    </row>
    <row r="54" spans="1:7" x14ac:dyDescent="0.2">
      <c r="A54" s="24" t="str">
        <f>MatP9100C0Colour</f>
        <v>Not Specified</v>
      </c>
      <c r="B54" s="24" t="str">
        <f>IF(MatP9100C0Code=0,"",MatP9100C0Code)</f>
        <v/>
      </c>
      <c r="C54" s="24" t="str">
        <f>MatP9100C0Desc</f>
        <v>Batten Nails - 65mm x 3.35mm Galvanised</v>
      </c>
      <c r="D54" s="31">
        <v>4</v>
      </c>
      <c r="E54" s="32">
        <f>MatP9100C0Price</f>
        <v>4.5</v>
      </c>
      <c r="F54" s="33" t="str">
        <f>MatP9100C0PerText</f>
        <v>Kg</v>
      </c>
      <c r="G54" s="32">
        <f t="shared" si="0"/>
        <v>18</v>
      </c>
    </row>
    <row r="55" spans="1:7" x14ac:dyDescent="0.2">
      <c r="D55" s="31"/>
      <c r="E55" s="32"/>
      <c r="F55" s="33"/>
      <c r="G55" s="32"/>
    </row>
    <row r="56" spans="1:7" x14ac:dyDescent="0.2">
      <c r="F56" s="34" t="s">
        <v>5</v>
      </c>
      <c r="G56" s="35">
        <f>SUM(G36:G55)</f>
        <v>2922.43</v>
      </c>
    </row>
    <row r="57" spans="1:7" x14ac:dyDescent="0.2">
      <c r="G57" s="34"/>
    </row>
    <row r="58" spans="1:7" x14ac:dyDescent="0.2">
      <c r="A58" s="25" t="s">
        <v>15</v>
      </c>
      <c r="B58" s="25"/>
      <c r="D58" s="25"/>
      <c r="E58" s="25"/>
      <c r="F58" s="25"/>
      <c r="G58" s="25"/>
    </row>
    <row r="60" spans="1:7" x14ac:dyDescent="0.2">
      <c r="A60" s="102" t="s">
        <v>6</v>
      </c>
      <c r="B60" s="102"/>
      <c r="C60" s="102"/>
      <c r="D60" s="34" t="s">
        <v>7</v>
      </c>
      <c r="E60" s="34" t="s">
        <v>9</v>
      </c>
      <c r="F60" s="34" t="s">
        <v>8</v>
      </c>
      <c r="G60" s="34" t="s">
        <v>16</v>
      </c>
    </row>
    <row r="61" spans="1:7" x14ac:dyDescent="0.2">
      <c r="A61" s="103" t="str">
        <f>LabP8815R6L1G1Desc</f>
        <v>Main Area</v>
      </c>
      <c r="B61" s="103"/>
      <c r="C61" s="103"/>
      <c r="D61" s="36">
        <f>LabP8815R6L1G1Rate</f>
        <v>9</v>
      </c>
      <c r="E61" s="37">
        <f>'RUF-SMI-Main Roof'!Area</f>
        <v>131.82</v>
      </c>
      <c r="F61" s="27" t="str">
        <f xml:space="preserve"> "" &amp; LabP8815R6L1G1Per</f>
        <v>m²</v>
      </c>
      <c r="G61" s="36">
        <f>D61 * E61</f>
        <v>1186.3799999999999</v>
      </c>
    </row>
    <row r="62" spans="1:7" x14ac:dyDescent="0.2">
      <c r="A62" s="24" t="str">
        <f>LabP8815R0L1G2Desc</f>
        <v>Eave</v>
      </c>
      <c r="D62" s="36">
        <f>LabP8815R0L1G2Rate</f>
        <v>2.5</v>
      </c>
      <c r="E62" s="37">
        <f>'RUF-SMI-Main Roof'!Eave</f>
        <v>26</v>
      </c>
      <c r="F62" s="27" t="str">
        <f xml:space="preserve"> "" &amp; LabP8815R0L1G2Per</f>
        <v>m</v>
      </c>
      <c r="G62" s="36">
        <f>D62 * E62</f>
        <v>65</v>
      </c>
    </row>
    <row r="63" spans="1:7" x14ac:dyDescent="0.2">
      <c r="A63" s="24" t="str">
        <f>LabP8815R0L1G3Desc</f>
        <v>Verge</v>
      </c>
      <c r="D63" s="36">
        <f>LabP8815R0L1G3Rate</f>
        <v>2.5</v>
      </c>
      <c r="E63" s="37">
        <f>LeftVerge+RightVerge</f>
        <v>20.28</v>
      </c>
      <c r="F63" s="27" t="str">
        <f xml:space="preserve"> "" &amp; LabP8815R0L1G3Per</f>
        <v>m</v>
      </c>
      <c r="G63" s="36">
        <f>D63 * E63</f>
        <v>50.7</v>
      </c>
    </row>
    <row r="64" spans="1:7" x14ac:dyDescent="0.2">
      <c r="A64" s="24" t="str">
        <f>LabP8815R0L1G8Desc</f>
        <v>Duo Ridge</v>
      </c>
      <c r="D64" s="36">
        <f>LabP8815R0L1G8Rate</f>
        <v>2.5</v>
      </c>
      <c r="E64" s="37">
        <f>'RUF-SMI-Main Roof'!DuoRidge</f>
        <v>13</v>
      </c>
      <c r="F64" s="27" t="str">
        <f xml:space="preserve"> "" &amp; LabP8815R0L1G8Per</f>
        <v>m</v>
      </c>
      <c r="G64" s="36">
        <f>D64 * E64</f>
        <v>32.5</v>
      </c>
    </row>
    <row r="65" spans="1:7" x14ac:dyDescent="0.2">
      <c r="A65" s="24" t="str">
        <f>LabP8815R0L1G241Desc</f>
        <v>Party Wall Insulation</v>
      </c>
      <c r="D65" s="36">
        <f>LabP8815R0L1G241Rate</f>
        <v>1.5</v>
      </c>
      <c r="E65" s="37">
        <v>10.14</v>
      </c>
      <c r="F65" s="27" t="str">
        <f xml:space="preserve"> "" &amp; LabP8815R0L1G241Per</f>
        <v>m</v>
      </c>
      <c r="G65" s="36">
        <f>D65 * E65</f>
        <v>15.21</v>
      </c>
    </row>
    <row r="66" spans="1:7" x14ac:dyDescent="0.2">
      <c r="D66" s="36"/>
      <c r="E66" s="37"/>
      <c r="F66" s="27"/>
      <c r="G66" s="36"/>
    </row>
    <row r="67" spans="1:7" x14ac:dyDescent="0.2">
      <c r="A67" s="103"/>
      <c r="B67" s="103"/>
      <c r="C67" s="103"/>
      <c r="D67" s="36"/>
      <c r="E67" s="37"/>
      <c r="G67" s="36"/>
    </row>
    <row r="68" spans="1:7" x14ac:dyDescent="0.2">
      <c r="F68" s="34" t="s">
        <v>5</v>
      </c>
      <c r="G68" s="35">
        <f>SUM(G61:G67)</f>
        <v>1349.79</v>
      </c>
    </row>
    <row r="72" spans="1:7" x14ac:dyDescent="0.2">
      <c r="A72" s="34"/>
      <c r="B72" s="38"/>
    </row>
    <row r="74" spans="1:7" x14ac:dyDescent="0.2">
      <c r="A74" s="34"/>
      <c r="B74" s="38"/>
    </row>
    <row r="76" spans="1:7" x14ac:dyDescent="0.2">
      <c r="A76" s="34"/>
      <c r="B76" s="38"/>
    </row>
    <row r="78" spans="1:7" x14ac:dyDescent="0.2">
      <c r="A78" s="34"/>
      <c r="B78" s="38"/>
    </row>
    <row r="81" spans="1:3" x14ac:dyDescent="0.2">
      <c r="A81" s="34"/>
      <c r="B81" s="38"/>
      <c r="C81" s="39"/>
    </row>
    <row r="83" spans="1:3" x14ac:dyDescent="0.2">
      <c r="A83" s="34"/>
      <c r="B83" s="38"/>
    </row>
    <row r="85" spans="1:3" x14ac:dyDescent="0.2">
      <c r="A85" s="34"/>
      <c r="B85" s="38"/>
      <c r="C85" s="39"/>
    </row>
    <row r="87" spans="1:3" x14ac:dyDescent="0.2">
      <c r="A87" s="34"/>
      <c r="B87" s="38"/>
    </row>
    <row r="89" spans="1:3" x14ac:dyDescent="0.2">
      <c r="A89" s="34"/>
      <c r="B89" s="38"/>
    </row>
    <row r="92" spans="1:3" x14ac:dyDescent="0.2">
      <c r="A92" s="34"/>
      <c r="B92" s="38"/>
    </row>
    <row r="94" spans="1:3" x14ac:dyDescent="0.2">
      <c r="A94" s="34"/>
      <c r="B94" s="38"/>
    </row>
    <row r="96" spans="1:3" x14ac:dyDescent="0.2">
      <c r="A96" s="34"/>
      <c r="B96" s="38"/>
      <c r="C96" s="39"/>
    </row>
    <row r="99" spans="1:3" x14ac:dyDescent="0.2">
      <c r="A99" s="34"/>
      <c r="B99" s="40"/>
      <c r="C99" s="23"/>
    </row>
    <row r="102" spans="1:3" x14ac:dyDescent="0.2">
      <c r="A102" s="39"/>
      <c r="B102" s="41"/>
    </row>
  </sheetData>
  <mergeCells count="5">
    <mergeCell ref="B4:F4"/>
    <mergeCell ref="B5:F5"/>
    <mergeCell ref="A60:C60"/>
    <mergeCell ref="A61:C61"/>
    <mergeCell ref="A67:C67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96A9C-11C6-4A86-A541-2038CFD93A08}">
  <dimension ref="A1:G96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204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199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9.99</v>
      </c>
      <c r="C9" s="23"/>
      <c r="D9" s="26"/>
    </row>
    <row r="10" spans="1:7" x14ac:dyDescent="0.2">
      <c r="A10" s="23" t="s">
        <v>114</v>
      </c>
      <c r="B10" s="24">
        <v>4.4000000000000004</v>
      </c>
      <c r="C10" s="23"/>
      <c r="D10" s="26"/>
    </row>
    <row r="11" spans="1:7" x14ac:dyDescent="0.2">
      <c r="A11" s="23" t="s">
        <v>141</v>
      </c>
      <c r="B11" s="24">
        <v>44</v>
      </c>
      <c r="C11" s="23"/>
      <c r="D11" s="26"/>
    </row>
    <row r="12" spans="1:7" x14ac:dyDescent="0.2">
      <c r="A12" s="23" t="s">
        <v>115</v>
      </c>
      <c r="B12" s="24">
        <v>2.27</v>
      </c>
      <c r="C12" s="23"/>
      <c r="D12" s="26"/>
    </row>
    <row r="13" spans="1:7" x14ac:dyDescent="0.2">
      <c r="A13" s="23" t="s">
        <v>116</v>
      </c>
      <c r="B13" s="24">
        <v>2.27</v>
      </c>
      <c r="C13" s="23"/>
      <c r="D13" s="26"/>
    </row>
    <row r="14" spans="1:7" x14ac:dyDescent="0.2">
      <c r="A14" s="23" t="s">
        <v>119</v>
      </c>
      <c r="B14" s="24">
        <v>600</v>
      </c>
      <c r="C14" s="23"/>
      <c r="D14" s="26"/>
    </row>
    <row r="15" spans="1:7" x14ac:dyDescent="0.2">
      <c r="A15" s="23" t="s">
        <v>120</v>
      </c>
      <c r="B15" s="24">
        <v>22.5</v>
      </c>
      <c r="C15" s="23"/>
      <c r="D15" s="26"/>
    </row>
    <row r="16" spans="1:7" x14ac:dyDescent="0.2">
      <c r="A16" s="23"/>
      <c r="C16" s="23"/>
      <c r="D16" s="26"/>
    </row>
    <row r="17" spans="1:7" x14ac:dyDescent="0.2">
      <c r="A17" s="23"/>
      <c r="B17" s="27"/>
      <c r="C17" s="23"/>
      <c r="D17" s="26"/>
    </row>
    <row r="18" spans="1:7" x14ac:dyDescent="0.2">
      <c r="A18" s="28" t="s">
        <v>10</v>
      </c>
      <c r="B18" s="28"/>
      <c r="C18" s="28"/>
      <c r="D18" s="28"/>
      <c r="E18" s="28"/>
      <c r="F18" s="28"/>
      <c r="G18" s="28"/>
    </row>
    <row r="19" spans="1:7" x14ac:dyDescent="0.2">
      <c r="A19" s="28"/>
      <c r="B19" s="28"/>
      <c r="C19" s="28"/>
      <c r="D19" s="28"/>
      <c r="E19" s="28"/>
      <c r="F19" s="28"/>
      <c r="G19" s="28"/>
    </row>
    <row r="20" spans="1:7" x14ac:dyDescent="0.2">
      <c r="A20" s="29" t="s">
        <v>121</v>
      </c>
      <c r="B20" s="24" t="s">
        <v>122</v>
      </c>
      <c r="C20" s="29"/>
      <c r="D20" s="29"/>
      <c r="E20" s="29"/>
      <c r="F20" s="29"/>
    </row>
    <row r="21" spans="1:7" x14ac:dyDescent="0.2">
      <c r="A21" s="29" t="s">
        <v>123</v>
      </c>
      <c r="B21" s="24" t="s">
        <v>124</v>
      </c>
      <c r="C21" s="29"/>
      <c r="D21" s="29"/>
      <c r="E21" s="29"/>
      <c r="F21" s="29"/>
    </row>
    <row r="22" spans="1:7" x14ac:dyDescent="0.2">
      <c r="A22" s="29"/>
      <c r="B22" s="24" t="s">
        <v>154</v>
      </c>
      <c r="C22" s="29"/>
      <c r="D22" s="29"/>
      <c r="E22" s="29"/>
      <c r="F22" s="29"/>
    </row>
    <row r="23" spans="1:7" x14ac:dyDescent="0.2">
      <c r="A23" s="29" t="s">
        <v>126</v>
      </c>
      <c r="B23" s="24" t="s">
        <v>127</v>
      </c>
      <c r="C23" s="29"/>
      <c r="D23" s="29"/>
      <c r="E23" s="29"/>
      <c r="F23" s="29"/>
    </row>
    <row r="24" spans="1:7" x14ac:dyDescent="0.2">
      <c r="A24" s="29"/>
      <c r="B24" s="24" t="s">
        <v>142</v>
      </c>
      <c r="C24" s="29"/>
      <c r="D24" s="29"/>
      <c r="E24" s="29"/>
      <c r="F24" s="29"/>
    </row>
    <row r="25" spans="1:7" x14ac:dyDescent="0.2">
      <c r="A25" s="29" t="s">
        <v>129</v>
      </c>
      <c r="B25" s="24" t="s">
        <v>130</v>
      </c>
      <c r="C25" s="29"/>
      <c r="D25" s="29"/>
      <c r="E25" s="29"/>
      <c r="F25" s="29"/>
    </row>
    <row r="26" spans="1:7" x14ac:dyDescent="0.2">
      <c r="A26" s="29" t="s">
        <v>134</v>
      </c>
      <c r="B26" s="24" t="s">
        <v>135</v>
      </c>
      <c r="C26" s="29"/>
      <c r="D26" s="29"/>
      <c r="E26" s="29"/>
      <c r="F26" s="29"/>
    </row>
    <row r="27" spans="1:7" x14ac:dyDescent="0.2">
      <c r="A27" s="29" t="s">
        <v>136</v>
      </c>
      <c r="B27" s="24" t="s">
        <v>137</v>
      </c>
      <c r="C27" s="29"/>
      <c r="D27" s="29"/>
      <c r="E27" s="29"/>
      <c r="F27" s="29"/>
    </row>
    <row r="28" spans="1:7" x14ac:dyDescent="0.2">
      <c r="A28" s="29" t="s">
        <v>143</v>
      </c>
      <c r="B28" s="24" t="s">
        <v>144</v>
      </c>
      <c r="C28" s="29"/>
      <c r="D28" s="29"/>
      <c r="E28" s="29"/>
      <c r="F28" s="29"/>
    </row>
    <row r="29" spans="1:7" x14ac:dyDescent="0.2">
      <c r="A29" s="29"/>
      <c r="C29" s="29"/>
      <c r="D29" s="29"/>
      <c r="E29" s="29"/>
      <c r="F29" s="29"/>
    </row>
    <row r="30" spans="1:7" x14ac:dyDescent="0.2">
      <c r="A30" s="29"/>
      <c r="C30" s="29"/>
      <c r="D30" s="29"/>
      <c r="E30" s="29"/>
      <c r="F30" s="29"/>
    </row>
    <row r="31" spans="1:7" x14ac:dyDescent="0.2">
      <c r="A31" s="25" t="s">
        <v>14</v>
      </c>
      <c r="B31" s="25"/>
      <c r="C31" s="25"/>
      <c r="D31" s="25"/>
      <c r="E31" s="25"/>
      <c r="F31" s="25"/>
      <c r="G31" s="25"/>
    </row>
    <row r="33" spans="1:7" s="29" customFormat="1" x14ac:dyDescent="0.2">
      <c r="A33" s="29" t="s">
        <v>25</v>
      </c>
      <c r="B33" s="29" t="s">
        <v>38</v>
      </c>
      <c r="C33" s="29" t="s">
        <v>2</v>
      </c>
      <c r="D33" s="30" t="s">
        <v>9</v>
      </c>
      <c r="E33" s="30" t="s">
        <v>3</v>
      </c>
      <c r="F33" s="30" t="s">
        <v>4</v>
      </c>
      <c r="G33" s="30" t="s">
        <v>16</v>
      </c>
    </row>
    <row r="34" spans="1:7" x14ac:dyDescent="0.2">
      <c r="A34" s="24" t="str">
        <f>MatP8815C0Colour</f>
        <v>Not Specified</v>
      </c>
      <c r="B34" s="24" t="str">
        <f>IF(MatP8815C0Code=0,"",MatP8815C0Code)</f>
        <v/>
      </c>
      <c r="C34" s="24" t="str">
        <f>MatP8815C0Desc</f>
        <v>TLE Tile</v>
      </c>
      <c r="D34" s="31">
        <v>108</v>
      </c>
      <c r="E34" s="32">
        <f>MatP8815C0Price</f>
        <v>1.2</v>
      </c>
      <c r="F34" s="33" t="str">
        <f>MatP8815C0PerText</f>
        <v>Each</v>
      </c>
      <c r="G34" s="32">
        <f t="shared" ref="G34:G48" si="0">D34 * E34</f>
        <v>129.6</v>
      </c>
    </row>
    <row r="35" spans="1:7" x14ac:dyDescent="0.2">
      <c r="A35" s="24" t="str">
        <f>MatP10135C0Colour</f>
        <v>Not Specified</v>
      </c>
      <c r="B35" s="24" t="str">
        <f>IF(MatP10135C0Code=0,"",MatP10135C0Code)</f>
        <v/>
      </c>
      <c r="C35" s="24" t="str">
        <f>MatP10135C0Desc</f>
        <v>VP300 Vapour Permeable Underlay (50m x 1m)</v>
      </c>
      <c r="D35" s="31">
        <v>0.5</v>
      </c>
      <c r="E35" s="32">
        <f>MatP10135C0Price</f>
        <v>35</v>
      </c>
      <c r="F35" s="33" t="str">
        <f>MatP10135C0PerText</f>
        <v>Roll</v>
      </c>
      <c r="G35" s="32">
        <f t="shared" si="0"/>
        <v>17.5</v>
      </c>
    </row>
    <row r="36" spans="1:7" x14ac:dyDescent="0.2">
      <c r="A36" s="24" t="str">
        <f>MatP9008C0Colour</f>
        <v>Not Specified</v>
      </c>
      <c r="B36" s="24" t="str">
        <f>IF(MatP9008C0Code=0,"",MatP9008C0Code)</f>
        <v/>
      </c>
      <c r="C36" s="24" t="str">
        <f>MatP9008C0Desc</f>
        <v>Battens (50mm x 25mm)</v>
      </c>
      <c r="D36" s="31">
        <v>32</v>
      </c>
      <c r="E36" s="32">
        <f>MatP9008C0Price</f>
        <v>0.9</v>
      </c>
      <c r="F36" s="33" t="str">
        <f>MatP9008C0PerText</f>
        <v>Metre</v>
      </c>
      <c r="G36" s="32">
        <f t="shared" si="0"/>
        <v>28.8</v>
      </c>
    </row>
    <row r="37" spans="1:7" x14ac:dyDescent="0.2">
      <c r="A37" s="24" t="str">
        <f>MatP8869C0Colour</f>
        <v>Not Specified</v>
      </c>
      <c r="B37" s="24" t="str">
        <f>IF(MatP8869C0Code=0,"",MatP8869C0Code)</f>
        <v/>
      </c>
      <c r="C37" s="24" t="str">
        <f>MatP8869C0Desc</f>
        <v>RH Uni-Fix Dry Verge Unit</v>
      </c>
      <c r="D37" s="31">
        <v>14</v>
      </c>
      <c r="E37" s="32">
        <f>MatP8869C0Price</f>
        <v>1.1000000000000001</v>
      </c>
      <c r="F37" s="33" t="str">
        <f>MatP8869C0PerText</f>
        <v>Each</v>
      </c>
      <c r="G37" s="32">
        <f t="shared" si="0"/>
        <v>15.400000000000002</v>
      </c>
    </row>
    <row r="38" spans="1:7" x14ac:dyDescent="0.2">
      <c r="A38" s="24" t="str">
        <f>MatP8857C0Colour</f>
        <v>Not Specified</v>
      </c>
      <c r="B38" s="24" t="str">
        <f>IF(MatP8857C0Code=0,"",MatP8857C0Code)</f>
        <v/>
      </c>
      <c r="C38" s="24" t="str">
        <f>MatP8857C0Desc</f>
        <v>LH Uni-Fix Dry Verge Unit</v>
      </c>
      <c r="D38" s="31">
        <v>14</v>
      </c>
      <c r="E38" s="32">
        <f>MatP8857C0Price</f>
        <v>1.1000000000000001</v>
      </c>
      <c r="F38" s="33" t="str">
        <f>MatP8857C0PerText</f>
        <v>Each</v>
      </c>
      <c r="G38" s="32">
        <f t="shared" si="0"/>
        <v>15.400000000000002</v>
      </c>
    </row>
    <row r="39" spans="1:7" x14ac:dyDescent="0.2">
      <c r="A39" s="24" t="str">
        <f>MatP8830C20Colour</f>
        <v>Not Specified</v>
      </c>
      <c r="B39" s="24" t="str">
        <f>IF(MatP8830C20Code=0,"",MatP8830C20Code)</f>
        <v/>
      </c>
      <c r="C39" s="24" t="str">
        <f>MatP8830C20Desc</f>
        <v>Dry Verge Starter Unit</v>
      </c>
      <c r="D39" s="31">
        <v>2</v>
      </c>
      <c r="E39" s="32">
        <f>MatP8830C20Price</f>
        <v>1.51</v>
      </c>
      <c r="F39" s="33" t="str">
        <f>MatP8830C20PerText</f>
        <v>Each</v>
      </c>
      <c r="G39" s="32">
        <f t="shared" si="0"/>
        <v>3.02</v>
      </c>
    </row>
    <row r="40" spans="1:7" x14ac:dyDescent="0.2">
      <c r="A40" s="24" t="str">
        <f>MatP8821C20Colour</f>
        <v>Not Specified</v>
      </c>
      <c r="B40" s="24" t="str">
        <f>IF(MatP8821C20Code=0,"",MatP8821C20Code)</f>
        <v/>
      </c>
      <c r="C40" s="24" t="str">
        <f>MatP8821C20Desc</f>
        <v>25mm Over Fascia Vent (1m)</v>
      </c>
      <c r="D40" s="31">
        <v>5</v>
      </c>
      <c r="E40" s="32">
        <f>MatP8821C20Price</f>
        <v>1.9</v>
      </c>
      <c r="F40" s="33" t="str">
        <f>MatP8821C20PerText</f>
        <v>Each</v>
      </c>
      <c r="G40" s="32">
        <f t="shared" si="0"/>
        <v>9.5</v>
      </c>
    </row>
    <row r="41" spans="1:7" x14ac:dyDescent="0.2">
      <c r="A41" s="24" t="str">
        <f>MatP8281C0Colour</f>
        <v>Not Specified</v>
      </c>
      <c r="B41" s="24" t="str">
        <f>IF(MatP8281C0Code=0,"",MatP8281C0Code)</f>
        <v/>
      </c>
      <c r="C41" s="24" t="str">
        <f>MatP8281C0Desc</f>
        <v>Generic Eave Insulation (1m)</v>
      </c>
      <c r="D41" s="31">
        <v>5</v>
      </c>
      <c r="E41" s="32">
        <f>MatP8281C0Price</f>
        <v>5</v>
      </c>
      <c r="F41" s="33" t="str">
        <f>MatP8281C0PerText</f>
        <v>Each</v>
      </c>
      <c r="G41" s="32">
        <f t="shared" si="0"/>
        <v>25</v>
      </c>
    </row>
    <row r="42" spans="1:7" x14ac:dyDescent="0.2">
      <c r="A42" s="24" t="str">
        <f>MatP8866C20Colour</f>
        <v>Not Specified</v>
      </c>
      <c r="B42" s="24" t="str">
        <f>IF(MatP8866C20Code=0,"",MatP8866C20Code)</f>
        <v/>
      </c>
      <c r="C42" s="24" t="str">
        <f>MatP8866C20Desc</f>
        <v>Rafter Roll (6m x 600mm)</v>
      </c>
      <c r="D42" s="31">
        <v>1</v>
      </c>
      <c r="E42" s="32">
        <f>MatP8866C20Price</f>
        <v>9.5</v>
      </c>
      <c r="F42" s="33" t="str">
        <f>MatP8866C20PerText</f>
        <v>Each</v>
      </c>
      <c r="G42" s="32">
        <f t="shared" si="0"/>
        <v>9.5</v>
      </c>
    </row>
    <row r="43" spans="1:7" x14ac:dyDescent="0.2">
      <c r="A43" s="24" t="str">
        <f>MatP8874C20Colour</f>
        <v>Not Specified</v>
      </c>
      <c r="B43" s="24" t="str">
        <f>IF(MatP8874C20Code=0,"",MatP8874C20Code)</f>
        <v/>
      </c>
      <c r="C43" s="24" t="str">
        <f>MatP8874C20Desc</f>
        <v>Underlay Support Tray (1.5m)</v>
      </c>
      <c r="D43" s="31">
        <v>3</v>
      </c>
      <c r="E43" s="32">
        <f>MatP8874C20Price</f>
        <v>1.5</v>
      </c>
      <c r="F43" s="33" t="str">
        <f>MatP8874C20PerText</f>
        <v>Each</v>
      </c>
      <c r="G43" s="32">
        <f t="shared" si="0"/>
        <v>4.5</v>
      </c>
    </row>
    <row r="44" spans="1:7" x14ac:dyDescent="0.2">
      <c r="A44" s="24" t="str">
        <f>MatP8826C539Colour</f>
        <v>Not Specified</v>
      </c>
      <c r="B44" s="24" t="str">
        <f>IF(MatP8826C539Code=0,"",MatP8826C539Code)</f>
        <v/>
      </c>
      <c r="C44" s="24" t="str">
        <f>MatP8826C539Desc</f>
        <v>Metal Batten End Clips</v>
      </c>
      <c r="D44" s="31">
        <v>14</v>
      </c>
      <c r="E44" s="32">
        <f>MatP8826C539Price</f>
        <v>0.28000000000000003</v>
      </c>
      <c r="F44" s="33" t="str">
        <f>MatP8826C539PerText</f>
        <v>Each</v>
      </c>
      <c r="G44" s="32">
        <f t="shared" si="0"/>
        <v>3.9200000000000004</v>
      </c>
    </row>
    <row r="45" spans="1:7" x14ac:dyDescent="0.2">
      <c r="A45" s="24" t="str">
        <f>MatP8831C539Colour</f>
        <v>Not Specified</v>
      </c>
      <c r="B45" s="24" t="str">
        <f>IF(MatP8831C539Code=0,"",MatP8831C539Code)</f>
        <v/>
      </c>
      <c r="C45" s="24" t="str">
        <f>MatP8831C539Desc</f>
        <v>Eave Clip</v>
      </c>
      <c r="D45" s="31">
        <v>15</v>
      </c>
      <c r="E45" s="32">
        <f>MatP8831C539Price</f>
        <v>0.1</v>
      </c>
      <c r="F45" s="33" t="str">
        <f>MatP8831C539PerText</f>
        <v>Each</v>
      </c>
      <c r="G45" s="32">
        <f t="shared" si="0"/>
        <v>1.5</v>
      </c>
    </row>
    <row r="46" spans="1:7" x14ac:dyDescent="0.2">
      <c r="A46" s="24" t="str">
        <f>MatP9318C0Colour</f>
        <v>Not Specified</v>
      </c>
      <c r="B46" s="24" t="str">
        <f>IF(MatP9318C0Code=0,"",MatP9318C0Code)</f>
        <v/>
      </c>
      <c r="C46" s="24" t="str">
        <f>MatP9318C0Desc</f>
        <v>45mm x 3.35mm Aluminium Nails</v>
      </c>
      <c r="D46" s="31">
        <v>0.9999999962747097</v>
      </c>
      <c r="E46" s="32">
        <f>MatP9318C0Price</f>
        <v>7.28</v>
      </c>
      <c r="F46" s="33" t="str">
        <f>MatP9318C0PerText</f>
        <v>Kg</v>
      </c>
      <c r="G46" s="32">
        <f t="shared" si="0"/>
        <v>7.279999972879887</v>
      </c>
    </row>
    <row r="47" spans="1:7" x14ac:dyDescent="0.2">
      <c r="A47" s="24" t="str">
        <f>MatP9100C0Colour</f>
        <v>Not Specified</v>
      </c>
      <c r="B47" s="24" t="str">
        <f>IF(MatP9100C0Code=0,"",MatP9100C0Code)</f>
        <v/>
      </c>
      <c r="C47" s="24" t="str">
        <f>MatP9100C0Desc</f>
        <v>Batten Nails - 65mm x 3.35mm Galvanised</v>
      </c>
      <c r="D47" s="31">
        <v>1</v>
      </c>
      <c r="E47" s="32">
        <f>MatP9100C0Price</f>
        <v>4.5</v>
      </c>
      <c r="F47" s="33" t="str">
        <f>MatP9100C0PerText</f>
        <v>Kg</v>
      </c>
      <c r="G47" s="32">
        <f t="shared" si="0"/>
        <v>4.5</v>
      </c>
    </row>
    <row r="48" spans="1:7" x14ac:dyDescent="0.2">
      <c r="A48" s="24" t="str">
        <f>MatP9066C92Colour</f>
        <v>Not Specified</v>
      </c>
      <c r="B48" s="24" t="str">
        <f>IF(MatP9066C92Code=0,"",MatP9066C92Code)</f>
        <v/>
      </c>
      <c r="C48" s="24" t="str">
        <f>MatP9066C92Desc</f>
        <v>Lead Code 4 - 300mm (6m)</v>
      </c>
      <c r="D48" s="31">
        <v>6</v>
      </c>
      <c r="E48" s="32">
        <f>MatP9066C92Price</f>
        <v>15.21</v>
      </c>
      <c r="F48" s="33" t="str">
        <f>MatP9066C92PerText</f>
        <v>Metre</v>
      </c>
      <c r="G48" s="32">
        <f t="shared" si="0"/>
        <v>91.26</v>
      </c>
    </row>
    <row r="49" spans="1:7" x14ac:dyDescent="0.2">
      <c r="D49" s="31"/>
      <c r="E49" s="32"/>
      <c r="F49" s="33"/>
      <c r="G49" s="32"/>
    </row>
    <row r="50" spans="1:7" x14ac:dyDescent="0.2">
      <c r="F50" s="34" t="s">
        <v>5</v>
      </c>
      <c r="G50" s="35">
        <f>SUM(G34:G49)</f>
        <v>366.6799999728799</v>
      </c>
    </row>
    <row r="51" spans="1:7" x14ac:dyDescent="0.2">
      <c r="G51" s="34"/>
    </row>
    <row r="52" spans="1:7" x14ac:dyDescent="0.2">
      <c r="A52" s="25" t="s">
        <v>15</v>
      </c>
      <c r="B52" s="25"/>
      <c r="D52" s="25"/>
      <c r="E52" s="25"/>
      <c r="F52" s="25"/>
      <c r="G52" s="25"/>
    </row>
    <row r="54" spans="1:7" x14ac:dyDescent="0.2">
      <c r="A54" s="102" t="s">
        <v>6</v>
      </c>
      <c r="B54" s="102"/>
      <c r="C54" s="102"/>
      <c r="D54" s="34" t="s">
        <v>7</v>
      </c>
      <c r="E54" s="34" t="s">
        <v>9</v>
      </c>
      <c r="F54" s="34" t="s">
        <v>8</v>
      </c>
      <c r="G54" s="34" t="s">
        <v>16</v>
      </c>
    </row>
    <row r="55" spans="1:7" x14ac:dyDescent="0.2">
      <c r="A55" s="103" t="str">
        <f>LabP8815R6L1G1Desc</f>
        <v>Main Area</v>
      </c>
      <c r="B55" s="103"/>
      <c r="C55" s="103"/>
      <c r="D55" s="36">
        <f>LabP8815R6L1G1Rate</f>
        <v>9</v>
      </c>
      <c r="E55" s="37">
        <f>'RUF-SMI-Lower Level'!Area</f>
        <v>9.99</v>
      </c>
      <c r="F55" s="27" t="str">
        <f xml:space="preserve"> "" &amp; LabP8815R6L1G1Per</f>
        <v>m²</v>
      </c>
      <c r="G55" s="36">
        <f>D55 * E55</f>
        <v>89.91</v>
      </c>
    </row>
    <row r="56" spans="1:7" x14ac:dyDescent="0.2">
      <c r="A56" s="24" t="str">
        <f>LabP8815R0L1G2Desc</f>
        <v>Eave</v>
      </c>
      <c r="D56" s="36">
        <f>LabP8815R0L1G2Rate</f>
        <v>2.5</v>
      </c>
      <c r="E56" s="37">
        <f>'RUF-SMI-Lower Level'!Eave</f>
        <v>4.4000000000000004</v>
      </c>
      <c r="F56" s="27" t="str">
        <f xml:space="preserve"> "" &amp; LabP8815R0L1G2Per</f>
        <v>m</v>
      </c>
      <c r="G56" s="36">
        <f>D56 * E56</f>
        <v>11</v>
      </c>
    </row>
    <row r="57" spans="1:7" x14ac:dyDescent="0.2">
      <c r="A57" s="24" t="str">
        <f>LabP8815R0L1G3Desc</f>
        <v>Verge</v>
      </c>
      <c r="D57" s="36">
        <f>LabP8815R0L1G3Rate</f>
        <v>2.5</v>
      </c>
      <c r="E57" s="37">
        <f>LeftVerge+RightVerge</f>
        <v>4.54</v>
      </c>
      <c r="F57" s="27" t="str">
        <f xml:space="preserve"> "" &amp; LabP8815R0L1G3Per</f>
        <v>m</v>
      </c>
      <c r="G57" s="36">
        <f>D57 * E57</f>
        <v>11.35</v>
      </c>
    </row>
    <row r="58" spans="1:7" x14ac:dyDescent="0.2">
      <c r="A58" s="24" t="str">
        <f>LabP8815R15L1G243Desc</f>
        <v>Apron Flashing (Code 4)</v>
      </c>
      <c r="D58" s="36">
        <f>LabP8815R15L1G243Rate</f>
        <v>15</v>
      </c>
      <c r="E58" s="37">
        <v>4.4000000000000004</v>
      </c>
      <c r="F58" s="27" t="str">
        <f xml:space="preserve"> "" &amp; LabP8815R15L1G243Per</f>
        <v>m</v>
      </c>
      <c r="G58" s="36">
        <f>D58 * E58</f>
        <v>66</v>
      </c>
    </row>
    <row r="59" spans="1:7" x14ac:dyDescent="0.2">
      <c r="A59" s="24" t="str">
        <f>LabP8815R150LabLabourforLowerLevelDesc</f>
        <v>Labour for Lower Level</v>
      </c>
      <c r="D59" s="36">
        <f>LabP8815R150LabLabourforLowerLevelRate</f>
        <v>150</v>
      </c>
      <c r="E59" s="37">
        <v>1</v>
      </c>
      <c r="F59" s="27" t="str">
        <f xml:space="preserve"> "" &amp; LabP8815R150LabLabourforLowerLevelPer</f>
        <v/>
      </c>
      <c r="G59" s="36">
        <f>D59 * E59</f>
        <v>150</v>
      </c>
    </row>
    <row r="60" spans="1:7" x14ac:dyDescent="0.2">
      <c r="D60" s="36"/>
      <c r="E60" s="37"/>
      <c r="F60" s="27"/>
      <c r="G60" s="36"/>
    </row>
    <row r="61" spans="1:7" x14ac:dyDescent="0.2">
      <c r="A61" s="103"/>
      <c r="B61" s="103"/>
      <c r="C61" s="103"/>
      <c r="D61" s="36"/>
      <c r="E61" s="37"/>
      <c r="G61" s="36"/>
    </row>
    <row r="62" spans="1:7" x14ac:dyDescent="0.2">
      <c r="F62" s="34" t="s">
        <v>5</v>
      </c>
      <c r="G62" s="35">
        <f>SUM(G55:G61)</f>
        <v>328.26</v>
      </c>
    </row>
    <row r="66" spans="1:3" x14ac:dyDescent="0.2">
      <c r="A66" s="34"/>
      <c r="B66" s="38"/>
    </row>
    <row r="68" spans="1:3" x14ac:dyDescent="0.2">
      <c r="A68" s="34"/>
      <c r="B68" s="38"/>
    </row>
    <row r="70" spans="1:3" x14ac:dyDescent="0.2">
      <c r="A70" s="34"/>
      <c r="B70" s="38"/>
    </row>
    <row r="72" spans="1:3" x14ac:dyDescent="0.2">
      <c r="A72" s="34"/>
      <c r="B72" s="38"/>
    </row>
    <row r="75" spans="1:3" x14ac:dyDescent="0.2">
      <c r="A75" s="34"/>
      <c r="B75" s="38"/>
      <c r="C75" s="39"/>
    </row>
    <row r="77" spans="1:3" x14ac:dyDescent="0.2">
      <c r="A77" s="34"/>
      <c r="B77" s="38"/>
    </row>
    <row r="79" spans="1:3" x14ac:dyDescent="0.2">
      <c r="A79" s="34"/>
      <c r="B79" s="38"/>
      <c r="C79" s="39"/>
    </row>
    <row r="81" spans="1:3" x14ac:dyDescent="0.2">
      <c r="A81" s="34"/>
      <c r="B81" s="38"/>
    </row>
    <row r="83" spans="1:3" x14ac:dyDescent="0.2">
      <c r="A83" s="34"/>
      <c r="B83" s="38"/>
    </row>
    <row r="86" spans="1:3" x14ac:dyDescent="0.2">
      <c r="A86" s="34"/>
      <c r="B86" s="38"/>
    </row>
    <row r="88" spans="1:3" x14ac:dyDescent="0.2">
      <c r="A88" s="34"/>
      <c r="B88" s="38"/>
    </row>
    <row r="90" spans="1:3" x14ac:dyDescent="0.2">
      <c r="A90" s="34"/>
      <c r="B90" s="38"/>
      <c r="C90" s="39"/>
    </row>
    <row r="93" spans="1:3" x14ac:dyDescent="0.2">
      <c r="A93" s="34"/>
      <c r="B93" s="40"/>
      <c r="C93" s="23"/>
    </row>
    <row r="96" spans="1:3" x14ac:dyDescent="0.2">
      <c r="A96" s="39"/>
      <c r="B96" s="41"/>
    </row>
  </sheetData>
  <mergeCells count="5">
    <mergeCell ref="B4:F4"/>
    <mergeCell ref="B5:F5"/>
    <mergeCell ref="A54:C54"/>
    <mergeCell ref="A55:C55"/>
    <mergeCell ref="A61:C61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U72"/>
  <sheetViews>
    <sheetView workbookViewId="0">
      <pane xSplit="4" ySplit="9" topLeftCell="E10" activePane="bottomRight" state="frozen"/>
      <selection activeCell="B37" sqref="B37"/>
      <selection pane="topRight" activeCell="B37" sqref="B37"/>
      <selection pane="bottomLeft" activeCell="B37" sqref="B37"/>
      <selection pane="bottomRight" activeCell="A18" sqref="A18"/>
    </sheetView>
  </sheetViews>
  <sheetFormatPr defaultRowHeight="12.75" x14ac:dyDescent="0.2"/>
  <cols>
    <col min="1" max="1" width="18.42578125" style="24" customWidth="1"/>
    <col min="2" max="2" width="29" style="24" customWidth="1"/>
    <col min="3" max="3" width="25.5703125" style="24" customWidth="1"/>
    <col min="4" max="4" width="25.42578125" style="24" customWidth="1"/>
    <col min="5" max="5" width="23.140625" style="24" customWidth="1"/>
    <col min="6" max="6" width="12.42578125" style="24" bestFit="1" customWidth="1"/>
    <col min="7" max="21" width="13.42578125" style="24" customWidth="1"/>
    <col min="22" max="16384" width="9.140625" style="24"/>
  </cols>
  <sheetData>
    <row r="1" spans="1:21" x14ac:dyDescent="0.2">
      <c r="A1" s="23" t="s">
        <v>0</v>
      </c>
      <c r="B1" s="39" t="s">
        <v>298</v>
      </c>
      <c r="C1" s="39"/>
      <c r="D1" s="39"/>
      <c r="E1" s="39"/>
      <c r="F1" s="39"/>
      <c r="G1" s="90"/>
      <c r="H1" s="26"/>
      <c r="I1" s="39"/>
      <c r="J1" s="39"/>
      <c r="K1" s="45"/>
    </row>
    <row r="2" spans="1:21" x14ac:dyDescent="0.2">
      <c r="A2" s="23" t="s">
        <v>64</v>
      </c>
      <c r="B2" s="39" t="s">
        <v>327</v>
      </c>
      <c r="C2" s="39"/>
      <c r="D2" s="39"/>
      <c r="E2" s="39"/>
      <c r="F2" s="39"/>
      <c r="G2" s="39"/>
      <c r="H2" s="26"/>
      <c r="I2" s="39"/>
      <c r="J2" s="39"/>
      <c r="K2" s="45"/>
    </row>
    <row r="3" spans="1:21" x14ac:dyDescent="0.2">
      <c r="A3" s="23" t="s">
        <v>1</v>
      </c>
      <c r="B3" s="39">
        <v>1234</v>
      </c>
      <c r="C3" s="39"/>
      <c r="D3" s="39"/>
      <c r="E3" s="39"/>
      <c r="F3" s="39"/>
      <c r="G3" s="39"/>
      <c r="H3" s="26"/>
      <c r="I3" s="39"/>
      <c r="J3" s="39"/>
      <c r="K3" s="45"/>
    </row>
    <row r="4" spans="1:21" x14ac:dyDescent="0.2">
      <c r="K4" s="45"/>
    </row>
    <row r="5" spans="1:21" x14ac:dyDescent="0.2">
      <c r="A5" s="77" t="s">
        <v>44</v>
      </c>
      <c r="B5" s="25"/>
      <c r="C5" s="25"/>
      <c r="D5" s="25"/>
      <c r="E5" s="25"/>
      <c r="F5" s="25"/>
      <c r="G5" s="25"/>
      <c r="I5" s="25"/>
      <c r="J5" s="25"/>
      <c r="K5" s="25"/>
      <c r="L5" s="25"/>
    </row>
    <row r="6" spans="1:21" x14ac:dyDescent="0.2">
      <c r="A6" s="78"/>
      <c r="B6" s="25"/>
      <c r="C6" s="25"/>
      <c r="D6" s="25"/>
      <c r="E6" s="25"/>
      <c r="F6" s="25"/>
      <c r="G6" s="25"/>
      <c r="I6" s="25"/>
      <c r="J6" s="25"/>
      <c r="K6" s="25"/>
      <c r="L6" s="25"/>
    </row>
    <row r="7" spans="1:21" x14ac:dyDescent="0.2">
      <c r="A7" s="25" t="s">
        <v>45</v>
      </c>
      <c r="B7" s="25"/>
      <c r="C7" s="25"/>
      <c r="D7" s="25"/>
      <c r="E7" s="25"/>
      <c r="F7" s="25"/>
      <c r="G7" s="25"/>
      <c r="I7" s="25"/>
      <c r="J7" s="25"/>
      <c r="K7" s="25"/>
      <c r="L7" s="25"/>
    </row>
    <row r="9" spans="1:21" x14ac:dyDescent="0.2">
      <c r="A9" s="46" t="s">
        <v>39</v>
      </c>
      <c r="B9" s="47" t="s">
        <v>40</v>
      </c>
      <c r="C9" s="47" t="s">
        <v>6</v>
      </c>
      <c r="D9" s="47" t="s">
        <v>31</v>
      </c>
      <c r="E9" s="47" t="s">
        <v>62</v>
      </c>
      <c r="F9" s="47" t="s">
        <v>65</v>
      </c>
      <c r="G9" s="80" t="s">
        <v>50</v>
      </c>
      <c r="H9" s="80" t="s">
        <v>41</v>
      </c>
      <c r="I9" s="80" t="s">
        <v>51</v>
      </c>
      <c r="J9" s="80" t="s">
        <v>52</v>
      </c>
      <c r="K9" s="80" t="s">
        <v>53</v>
      </c>
      <c r="L9" s="80" t="s">
        <v>42</v>
      </c>
      <c r="M9" s="80" t="s">
        <v>43</v>
      </c>
      <c r="N9" s="80" t="s">
        <v>54</v>
      </c>
      <c r="O9" s="80" t="s">
        <v>55</v>
      </c>
      <c r="P9" s="80" t="s">
        <v>56</v>
      </c>
      <c r="Q9" s="80" t="s">
        <v>57</v>
      </c>
      <c r="R9" s="80" t="s">
        <v>61</v>
      </c>
      <c r="S9" s="80" t="s">
        <v>60</v>
      </c>
      <c r="T9" s="80" t="s">
        <v>59</v>
      </c>
      <c r="U9" s="80" t="s">
        <v>58</v>
      </c>
    </row>
    <row r="10" spans="1:21" x14ac:dyDescent="0.2">
      <c r="A10" s="92" t="s">
        <v>243</v>
      </c>
      <c r="B10" s="51" t="s">
        <v>244</v>
      </c>
      <c r="C10" s="52" t="s">
        <v>139</v>
      </c>
      <c r="D10" s="52" t="s">
        <v>69</v>
      </c>
      <c r="E10" s="52" t="s">
        <v>68</v>
      </c>
      <c r="F10" s="89">
        <f>JobSummaryItemId1699 / G10</f>
        <v>44.549770484613106</v>
      </c>
      <c r="G10" s="54">
        <v>43.4799995422363</v>
      </c>
      <c r="H10" s="61">
        <v>8.8000001907348597</v>
      </c>
      <c r="I10" s="61"/>
      <c r="J10" s="61">
        <v>4.9400000572204599</v>
      </c>
      <c r="K10" s="61">
        <v>4.9400000572204599</v>
      </c>
      <c r="L10" s="61"/>
      <c r="M10" s="61"/>
      <c r="N10" s="61">
        <v>4.4000000953674299</v>
      </c>
      <c r="O10" s="61"/>
      <c r="P10" s="61"/>
      <c r="Q10" s="61"/>
      <c r="R10" s="61"/>
      <c r="S10" s="61"/>
      <c r="T10" s="61">
        <v>4.9400000572204599</v>
      </c>
      <c r="U10" s="24">
        <v>600</v>
      </c>
    </row>
    <row r="11" spans="1:21" x14ac:dyDescent="0.2">
      <c r="A11" s="92" t="s">
        <v>243</v>
      </c>
      <c r="B11" s="51" t="s">
        <v>244</v>
      </c>
      <c r="C11" s="52" t="s">
        <v>145</v>
      </c>
      <c r="D11" s="52" t="s">
        <v>69</v>
      </c>
      <c r="E11" s="52" t="s">
        <v>68</v>
      </c>
      <c r="F11" s="89">
        <f>JobSummaryItemId1668 / G11</f>
        <v>144.41472000000002</v>
      </c>
      <c r="G11" s="54">
        <v>3.75</v>
      </c>
      <c r="H11" s="61">
        <v>2.7999999523162802</v>
      </c>
      <c r="I11" s="61">
        <v>2.7999999523162802</v>
      </c>
      <c r="J11" s="61">
        <v>1.3400000333786</v>
      </c>
      <c r="K11" s="61">
        <v>1.3400000333786</v>
      </c>
      <c r="L11" s="61"/>
      <c r="M11" s="61"/>
      <c r="N11" s="61"/>
      <c r="O11" s="61"/>
      <c r="P11" s="61"/>
      <c r="Q11" s="61"/>
      <c r="R11" s="61"/>
      <c r="S11" s="61"/>
      <c r="T11" s="61"/>
      <c r="U11" s="24">
        <v>600</v>
      </c>
    </row>
    <row r="12" spans="1:21" x14ac:dyDescent="0.2">
      <c r="A12" s="92" t="s">
        <v>245</v>
      </c>
      <c r="B12" s="51" t="s">
        <v>246</v>
      </c>
      <c r="C12" s="52" t="s">
        <v>139</v>
      </c>
      <c r="D12" s="52" t="s">
        <v>69</v>
      </c>
      <c r="E12" s="52" t="s">
        <v>68</v>
      </c>
      <c r="F12" s="89">
        <f>JobSummaryItemId1674 / G12</f>
        <v>43.079171845522389</v>
      </c>
      <c r="G12" s="54">
        <v>42.4799995422363</v>
      </c>
      <c r="H12" s="61">
        <v>8.6000003814697301</v>
      </c>
      <c r="I12" s="61"/>
      <c r="J12" s="61"/>
      <c r="K12" s="61"/>
      <c r="L12" s="61"/>
      <c r="M12" s="61"/>
      <c r="N12" s="61">
        <v>4.3000001907348597</v>
      </c>
      <c r="O12" s="61"/>
      <c r="P12" s="61"/>
      <c r="Q12" s="61"/>
      <c r="R12" s="61"/>
      <c r="S12" s="61"/>
      <c r="T12" s="61">
        <v>9.8800001144409197</v>
      </c>
      <c r="U12" s="24">
        <v>600</v>
      </c>
    </row>
    <row r="13" spans="1:21" x14ac:dyDescent="0.2">
      <c r="A13" s="92" t="s">
        <v>245</v>
      </c>
      <c r="B13" s="51" t="s">
        <v>246</v>
      </c>
      <c r="C13" s="52" t="s">
        <v>145</v>
      </c>
      <c r="D13" s="52" t="s">
        <v>69</v>
      </c>
      <c r="E13" s="52" t="s">
        <v>68</v>
      </c>
      <c r="F13" s="89">
        <f>JobSummaryItemId1667 / G13</f>
        <v>144.41472000000002</v>
      </c>
      <c r="G13" s="54">
        <v>3.75</v>
      </c>
      <c r="H13" s="61">
        <v>2.7999999523162802</v>
      </c>
      <c r="I13" s="61">
        <v>2.7999999523162802</v>
      </c>
      <c r="J13" s="61">
        <v>1.3400000333786</v>
      </c>
      <c r="K13" s="61">
        <v>1.3400000333786</v>
      </c>
      <c r="L13" s="61"/>
      <c r="M13" s="61"/>
      <c r="N13" s="61"/>
      <c r="O13" s="61"/>
      <c r="P13" s="61"/>
      <c r="Q13" s="61"/>
      <c r="R13" s="61"/>
      <c r="S13" s="61"/>
      <c r="T13" s="61"/>
      <c r="U13" s="24">
        <v>600</v>
      </c>
    </row>
    <row r="14" spans="1:21" x14ac:dyDescent="0.2">
      <c r="A14" s="92" t="s">
        <v>247</v>
      </c>
      <c r="B14" s="51" t="s">
        <v>248</v>
      </c>
      <c r="C14" s="52" t="s">
        <v>139</v>
      </c>
      <c r="D14" s="52" t="s">
        <v>69</v>
      </c>
      <c r="E14" s="52" t="s">
        <v>68</v>
      </c>
      <c r="F14" s="89">
        <f>JobSummaryItemId1671 / G14</f>
        <v>42.8070475682158</v>
      </c>
      <c r="G14" s="54">
        <v>84.919998168945298</v>
      </c>
      <c r="H14" s="61">
        <v>17.399999618530298</v>
      </c>
      <c r="I14" s="61"/>
      <c r="J14" s="61">
        <v>9.7600002288818395</v>
      </c>
      <c r="K14" s="61">
        <v>9.7600002288818395</v>
      </c>
      <c r="L14" s="61"/>
      <c r="M14" s="61"/>
      <c r="N14" s="61">
        <v>8.6999998092651403</v>
      </c>
      <c r="O14" s="61"/>
      <c r="P14" s="61"/>
      <c r="Q14" s="61"/>
      <c r="R14" s="61"/>
      <c r="S14" s="61"/>
      <c r="T14" s="61"/>
      <c r="U14" s="24">
        <v>600</v>
      </c>
    </row>
    <row r="15" spans="1:21" x14ac:dyDescent="0.2">
      <c r="A15" s="92" t="s">
        <v>247</v>
      </c>
      <c r="B15" s="51" t="s">
        <v>248</v>
      </c>
      <c r="C15" s="52" t="s">
        <v>156</v>
      </c>
      <c r="D15" s="52" t="s">
        <v>69</v>
      </c>
      <c r="E15" s="52" t="s">
        <v>68</v>
      </c>
      <c r="F15" s="89">
        <f>JobSummaryItemId1672 / G15</f>
        <v>263.76403786318144</v>
      </c>
      <c r="G15" s="54">
        <v>1.9800000190734901</v>
      </c>
      <c r="H15" s="61">
        <v>1.79999995231628</v>
      </c>
      <c r="I15" s="61"/>
      <c r="J15" s="61">
        <v>1.1000000238418599</v>
      </c>
      <c r="K15" s="61">
        <v>1.1000000238418599</v>
      </c>
      <c r="L15" s="61"/>
      <c r="M15" s="61"/>
      <c r="N15" s="61">
        <v>0.89999997615814198</v>
      </c>
      <c r="O15" s="61"/>
      <c r="P15" s="61"/>
      <c r="Q15" s="61">
        <v>2.2000000476837198</v>
      </c>
      <c r="R15" s="61"/>
      <c r="S15" s="61"/>
      <c r="T15" s="61"/>
      <c r="U15" s="24">
        <v>600</v>
      </c>
    </row>
    <row r="16" spans="1:21" x14ac:dyDescent="0.2">
      <c r="A16" s="92" t="s">
        <v>249</v>
      </c>
      <c r="B16" s="51" t="s">
        <v>250</v>
      </c>
      <c r="C16" s="52" t="s">
        <v>139</v>
      </c>
      <c r="D16" s="52" t="s">
        <v>69</v>
      </c>
      <c r="E16" s="52" t="s">
        <v>68</v>
      </c>
      <c r="F16" s="89">
        <f>JobSummaryItemId1675 / G16</f>
        <v>48.5698536882011</v>
      </c>
      <c r="G16" s="54">
        <v>92.239997863769503</v>
      </c>
      <c r="H16" s="61">
        <v>17.5</v>
      </c>
      <c r="I16" s="61"/>
      <c r="J16" s="61">
        <v>11.6599998474121</v>
      </c>
      <c r="K16" s="61">
        <v>11.6599998474121</v>
      </c>
      <c r="L16" s="61"/>
      <c r="M16" s="61">
        <v>9.6199998855590803</v>
      </c>
      <c r="N16" s="61">
        <v>14.8500003814697</v>
      </c>
      <c r="O16" s="61"/>
      <c r="P16" s="61"/>
      <c r="Q16" s="61"/>
      <c r="R16" s="61"/>
      <c r="S16" s="61"/>
      <c r="T16" s="61"/>
      <c r="U16" s="24">
        <v>600</v>
      </c>
    </row>
    <row r="17" spans="1:21" x14ac:dyDescent="0.2">
      <c r="A17" s="92" t="s">
        <v>249</v>
      </c>
      <c r="B17" s="51" t="s">
        <v>250</v>
      </c>
      <c r="C17" s="52" t="s">
        <v>156</v>
      </c>
      <c r="D17" s="52" t="s">
        <v>69</v>
      </c>
      <c r="E17" s="52" t="s">
        <v>68</v>
      </c>
      <c r="F17" s="89">
        <f>JobSummaryItemId1676 / G17</f>
        <v>263.76403786318144</v>
      </c>
      <c r="G17" s="54">
        <v>1.9800000190734901</v>
      </c>
      <c r="H17" s="61">
        <v>1.79999995231628</v>
      </c>
      <c r="I17" s="61"/>
      <c r="J17" s="61">
        <v>1.1000000238418599</v>
      </c>
      <c r="K17" s="61">
        <v>1.1000000238418599</v>
      </c>
      <c r="L17" s="61"/>
      <c r="M17" s="61"/>
      <c r="N17" s="61">
        <v>0.89999997615814198</v>
      </c>
      <c r="O17" s="61"/>
      <c r="P17" s="61"/>
      <c r="Q17" s="61">
        <v>2.2000000476837198</v>
      </c>
      <c r="R17" s="61"/>
      <c r="S17" s="61"/>
      <c r="T17" s="61"/>
      <c r="U17" s="24">
        <v>600</v>
      </c>
    </row>
    <row r="18" spans="1:21" x14ac:dyDescent="0.2">
      <c r="A18" s="92" t="s">
        <v>251</v>
      </c>
      <c r="B18" s="51" t="s">
        <v>252</v>
      </c>
      <c r="C18" s="52" t="s">
        <v>139</v>
      </c>
      <c r="D18" s="52" t="s">
        <v>69</v>
      </c>
      <c r="E18" s="52" t="s">
        <v>68</v>
      </c>
      <c r="F18" s="89">
        <f>JobSummaryItemId1684 / G18</f>
        <v>43.712518721805196</v>
      </c>
      <c r="G18" s="54">
        <v>71.739997863769503</v>
      </c>
      <c r="H18" s="61">
        <v>17.799999237060501</v>
      </c>
      <c r="I18" s="61"/>
      <c r="J18" s="61">
        <v>8.0600004196166992</v>
      </c>
      <c r="K18" s="61">
        <v>8.0600004196166992</v>
      </c>
      <c r="L18" s="61"/>
      <c r="M18" s="61"/>
      <c r="N18" s="61">
        <v>8.8999996185302699</v>
      </c>
      <c r="O18" s="61"/>
      <c r="P18" s="61"/>
      <c r="Q18" s="61"/>
      <c r="R18" s="61"/>
      <c r="S18" s="61"/>
      <c r="T18" s="61"/>
      <c r="U18" s="24">
        <v>600</v>
      </c>
    </row>
    <row r="19" spans="1:21" x14ac:dyDescent="0.2">
      <c r="A19" s="92" t="s">
        <v>251</v>
      </c>
      <c r="B19" s="51" t="s">
        <v>252</v>
      </c>
      <c r="C19" s="52" t="s">
        <v>156</v>
      </c>
      <c r="D19" s="52" t="s">
        <v>69</v>
      </c>
      <c r="E19" s="52" t="s">
        <v>68</v>
      </c>
      <c r="F19" s="89">
        <f>JobSummaryItemId1681 / G19</f>
        <v>251.27010664904012</v>
      </c>
      <c r="G19" s="54">
        <v>2.0999999046325701</v>
      </c>
      <c r="H19" s="61">
        <v>1.79999995231628</v>
      </c>
      <c r="I19" s="61"/>
      <c r="J19" s="61">
        <v>1.16999995708466</v>
      </c>
      <c r="K19" s="61">
        <v>1.16999995708466</v>
      </c>
      <c r="L19" s="61"/>
      <c r="M19" s="61"/>
      <c r="N19" s="61">
        <v>0.89999997615814198</v>
      </c>
      <c r="O19" s="61"/>
      <c r="P19" s="61"/>
      <c r="Q19" s="61">
        <v>2.3399999141693102</v>
      </c>
      <c r="R19" s="61"/>
      <c r="S19" s="61"/>
      <c r="T19" s="61"/>
      <c r="U19" s="24">
        <v>600</v>
      </c>
    </row>
    <row r="20" spans="1:21" x14ac:dyDescent="0.2">
      <c r="A20" s="92" t="s">
        <v>253</v>
      </c>
      <c r="B20" s="51" t="s">
        <v>254</v>
      </c>
      <c r="C20" s="52" t="s">
        <v>139</v>
      </c>
      <c r="D20" s="52" t="s">
        <v>69</v>
      </c>
      <c r="E20" s="52" t="s">
        <v>68</v>
      </c>
      <c r="F20" s="89">
        <f>JobSummaryItemId1700 / G20</f>
        <v>43.611925913145946</v>
      </c>
      <c r="G20" s="54">
        <v>51.380001068115199</v>
      </c>
      <c r="H20" s="61">
        <v>10.3999996185303</v>
      </c>
      <c r="I20" s="61"/>
      <c r="J20" s="61">
        <v>4.9400000572204599</v>
      </c>
      <c r="K20" s="61">
        <v>4.9400000572204599</v>
      </c>
      <c r="L20" s="61"/>
      <c r="M20" s="61"/>
      <c r="N20" s="61">
        <v>5.1999998092651403</v>
      </c>
      <c r="O20" s="61"/>
      <c r="P20" s="61"/>
      <c r="Q20" s="61"/>
      <c r="R20" s="61"/>
      <c r="S20" s="61"/>
      <c r="T20" s="61">
        <v>4.9400000572204599</v>
      </c>
      <c r="U20" s="24">
        <v>600</v>
      </c>
    </row>
    <row r="21" spans="1:21" x14ac:dyDescent="0.2">
      <c r="A21" s="92" t="s">
        <v>253</v>
      </c>
      <c r="B21" s="51" t="s">
        <v>254</v>
      </c>
      <c r="C21" s="52" t="s">
        <v>145</v>
      </c>
      <c r="D21" s="52" t="s">
        <v>69</v>
      </c>
      <c r="E21" s="52" t="s">
        <v>68</v>
      </c>
      <c r="F21" s="89">
        <f>JobSummaryItemId1688 / G21</f>
        <v>171.10792069282385</v>
      </c>
      <c r="G21" s="54">
        <v>3.5099999904632599</v>
      </c>
      <c r="H21" s="61">
        <v>3</v>
      </c>
      <c r="I21" s="61">
        <v>3</v>
      </c>
      <c r="J21" s="61">
        <v>1.16999995708466</v>
      </c>
      <c r="K21" s="61">
        <v>1.16999995708466</v>
      </c>
      <c r="L21" s="61"/>
      <c r="M21" s="61"/>
      <c r="N21" s="61"/>
      <c r="O21" s="61"/>
      <c r="P21" s="61"/>
      <c r="Q21" s="61"/>
      <c r="R21" s="61"/>
      <c r="S21" s="61"/>
      <c r="T21" s="61"/>
      <c r="U21" s="24">
        <v>600</v>
      </c>
    </row>
    <row r="22" spans="1:21" x14ac:dyDescent="0.2">
      <c r="A22" s="92" t="s">
        <v>255</v>
      </c>
      <c r="B22" s="51" t="s">
        <v>256</v>
      </c>
      <c r="C22" s="52" t="s">
        <v>139</v>
      </c>
      <c r="D22" s="52" t="s">
        <v>69</v>
      </c>
      <c r="E22" s="52" t="s">
        <v>68</v>
      </c>
      <c r="F22" s="89">
        <f>JobSummaryItemId1694 / G22</f>
        <v>41.709342846848251</v>
      </c>
      <c r="G22" s="54">
        <v>49.400001525878899</v>
      </c>
      <c r="H22" s="61">
        <v>10</v>
      </c>
      <c r="I22" s="61"/>
      <c r="J22" s="61"/>
      <c r="K22" s="61"/>
      <c r="L22" s="61"/>
      <c r="M22" s="61"/>
      <c r="N22" s="61">
        <v>5</v>
      </c>
      <c r="O22" s="61"/>
      <c r="P22" s="61"/>
      <c r="Q22" s="61"/>
      <c r="R22" s="61"/>
      <c r="S22" s="61"/>
      <c r="T22" s="61">
        <v>9.8800001144409197</v>
      </c>
      <c r="U22" s="24">
        <v>600</v>
      </c>
    </row>
    <row r="23" spans="1:21" x14ac:dyDescent="0.2">
      <c r="A23" s="92" t="s">
        <v>255</v>
      </c>
      <c r="B23" s="51" t="s">
        <v>256</v>
      </c>
      <c r="C23" s="52" t="s">
        <v>145</v>
      </c>
      <c r="D23" s="52" t="s">
        <v>69</v>
      </c>
      <c r="E23" s="52" t="s">
        <v>68</v>
      </c>
      <c r="F23" s="89">
        <f>JobSummaryItemId1690 / G23</f>
        <v>171.10792069282385</v>
      </c>
      <c r="G23" s="54">
        <v>3.5099999904632599</v>
      </c>
      <c r="H23" s="61">
        <v>3</v>
      </c>
      <c r="I23" s="61">
        <v>3</v>
      </c>
      <c r="J23" s="61">
        <v>1.16999995708466</v>
      </c>
      <c r="K23" s="61">
        <v>1.16999995708466</v>
      </c>
      <c r="L23" s="61"/>
      <c r="M23" s="61"/>
      <c r="N23" s="61"/>
      <c r="O23" s="61"/>
      <c r="P23" s="61"/>
      <c r="Q23" s="61"/>
      <c r="R23" s="61"/>
      <c r="S23" s="61"/>
      <c r="T23" s="61"/>
      <c r="U23" s="24">
        <v>600</v>
      </c>
    </row>
    <row r="24" spans="1:21" x14ac:dyDescent="0.2">
      <c r="A24" s="92" t="s">
        <v>257</v>
      </c>
      <c r="B24" s="51" t="s">
        <v>258</v>
      </c>
      <c r="C24" s="52" t="s">
        <v>139</v>
      </c>
      <c r="D24" s="52" t="s">
        <v>69</v>
      </c>
      <c r="E24" s="52" t="s">
        <v>68</v>
      </c>
      <c r="F24" s="89">
        <f>JobSummaryItemId1698 / G24</f>
        <v>42.472307413631789</v>
      </c>
      <c r="G24" s="54">
        <v>102.76000213623</v>
      </c>
      <c r="H24" s="61">
        <v>20.799999237060501</v>
      </c>
      <c r="I24" s="61"/>
      <c r="J24" s="61">
        <v>9.8800001144409197</v>
      </c>
      <c r="K24" s="61">
        <v>9.8800001144409197</v>
      </c>
      <c r="L24" s="61"/>
      <c r="M24" s="61"/>
      <c r="N24" s="61">
        <v>10.3999996185303</v>
      </c>
      <c r="O24" s="61"/>
      <c r="P24" s="61"/>
      <c r="Q24" s="61"/>
      <c r="R24" s="61"/>
      <c r="S24" s="61"/>
      <c r="T24" s="61">
        <v>9.8800001144409197</v>
      </c>
      <c r="U24" s="24">
        <v>600</v>
      </c>
    </row>
    <row r="25" spans="1:21" x14ac:dyDescent="0.2">
      <c r="A25" s="92" t="s">
        <v>314</v>
      </c>
      <c r="B25" s="51" t="s">
        <v>258</v>
      </c>
      <c r="C25" s="52" t="s">
        <v>145</v>
      </c>
      <c r="D25" s="52" t="s">
        <v>69</v>
      </c>
      <c r="E25" s="52" t="s">
        <v>68</v>
      </c>
      <c r="F25" s="89">
        <f>JobSummaryItemId1697 / G25</f>
        <v>171.10792069282385</v>
      </c>
      <c r="G25" s="54">
        <v>3.5099999904632599</v>
      </c>
      <c r="H25" s="61">
        <v>3</v>
      </c>
      <c r="I25" s="61">
        <v>3</v>
      </c>
      <c r="J25" s="61">
        <v>1.16999995708466</v>
      </c>
      <c r="K25" s="61">
        <v>1.16999995708466</v>
      </c>
      <c r="L25" s="61"/>
      <c r="M25" s="61"/>
      <c r="N25" s="61"/>
      <c r="O25" s="61"/>
      <c r="P25" s="61"/>
      <c r="Q25" s="61"/>
      <c r="R25" s="61"/>
      <c r="S25" s="61"/>
      <c r="T25" s="61"/>
      <c r="U25" s="24">
        <v>600</v>
      </c>
    </row>
    <row r="26" spans="1:21" x14ac:dyDescent="0.2">
      <c r="A26" s="92" t="s">
        <v>257</v>
      </c>
      <c r="B26" s="51" t="s">
        <v>258</v>
      </c>
      <c r="C26" s="52" t="s">
        <v>145</v>
      </c>
      <c r="D26" s="52" t="s">
        <v>69</v>
      </c>
      <c r="E26" s="52" t="s">
        <v>68</v>
      </c>
      <c r="F26" s="89">
        <f>JobSummaryItemId1695 / G26</f>
        <v>171.10792069282385</v>
      </c>
      <c r="G26" s="54">
        <v>3.5099999904632599</v>
      </c>
      <c r="H26" s="61">
        <v>3</v>
      </c>
      <c r="I26" s="61">
        <v>3</v>
      </c>
      <c r="J26" s="61">
        <v>1.16999995708466</v>
      </c>
      <c r="K26" s="61">
        <v>1.16999995708466</v>
      </c>
      <c r="L26" s="61"/>
      <c r="M26" s="61"/>
      <c r="N26" s="61"/>
      <c r="O26" s="61"/>
      <c r="P26" s="61"/>
      <c r="Q26" s="61"/>
      <c r="R26" s="61"/>
      <c r="S26" s="61"/>
      <c r="T26" s="61"/>
      <c r="U26" s="24">
        <v>600</v>
      </c>
    </row>
    <row r="27" spans="1:21" x14ac:dyDescent="0.2">
      <c r="A27" s="92" t="s">
        <v>259</v>
      </c>
      <c r="B27" s="51" t="s">
        <v>260</v>
      </c>
      <c r="C27" s="52" t="s">
        <v>139</v>
      </c>
      <c r="D27" s="52" t="s">
        <v>69</v>
      </c>
      <c r="E27" s="52" t="s">
        <v>68</v>
      </c>
      <c r="F27" s="89">
        <f>JobSummaryItemId1750 / G27</f>
        <v>49.411911540466896</v>
      </c>
      <c r="G27" s="54">
        <v>70.059997558593807</v>
      </c>
      <c r="H27" s="61">
        <v>10.6000003814697</v>
      </c>
      <c r="I27" s="61"/>
      <c r="J27" s="61">
        <v>12.7700004577637</v>
      </c>
      <c r="K27" s="61">
        <v>12.7700004577637</v>
      </c>
      <c r="L27" s="61"/>
      <c r="M27" s="61">
        <v>8.5</v>
      </c>
      <c r="N27" s="61">
        <v>10.579999923706101</v>
      </c>
      <c r="O27" s="61"/>
      <c r="P27" s="61"/>
      <c r="Q27" s="61"/>
      <c r="R27" s="61"/>
      <c r="S27" s="61"/>
      <c r="T27" s="61"/>
      <c r="U27" s="24">
        <v>600</v>
      </c>
    </row>
    <row r="28" spans="1:21" x14ac:dyDescent="0.2">
      <c r="A28" s="92" t="s">
        <v>259</v>
      </c>
      <c r="B28" s="51" t="s">
        <v>260</v>
      </c>
      <c r="C28" s="52" t="s">
        <v>145</v>
      </c>
      <c r="D28" s="52" t="s">
        <v>69</v>
      </c>
      <c r="E28" s="52" t="s">
        <v>68</v>
      </c>
      <c r="F28" s="89">
        <f>JobSummaryItemId1747 / G28</f>
        <v>269.06598055569441</v>
      </c>
      <c r="G28" s="54">
        <v>1.53999996185303</v>
      </c>
      <c r="H28" s="61">
        <v>1.3999999761581401</v>
      </c>
      <c r="I28" s="61">
        <v>1.3999999761581401</v>
      </c>
      <c r="J28" s="61">
        <v>1.1000000238418599</v>
      </c>
      <c r="K28" s="61"/>
      <c r="L28" s="61"/>
      <c r="M28" s="61"/>
      <c r="N28" s="61"/>
      <c r="O28" s="61"/>
      <c r="P28" s="61"/>
      <c r="Q28" s="61">
        <v>1.1000000238418599</v>
      </c>
      <c r="R28" s="61"/>
      <c r="S28" s="61"/>
      <c r="T28" s="61"/>
      <c r="U28" s="24">
        <v>600</v>
      </c>
    </row>
    <row r="29" spans="1:21" x14ac:dyDescent="0.2">
      <c r="A29" s="92" t="s">
        <v>261</v>
      </c>
      <c r="B29" s="51" t="s">
        <v>262</v>
      </c>
      <c r="C29" s="52" t="s">
        <v>139</v>
      </c>
      <c r="D29" s="52" t="s">
        <v>69</v>
      </c>
      <c r="E29" s="52" t="s">
        <v>68</v>
      </c>
      <c r="F29" s="89">
        <f>JobSummaryItemId1753 / G29</f>
        <v>46.170709731103912</v>
      </c>
      <c r="G29" s="54">
        <v>94.260002136230497</v>
      </c>
      <c r="H29" s="61">
        <v>15.199999809265099</v>
      </c>
      <c r="I29" s="61"/>
      <c r="J29" s="61">
        <v>13.2299995422363</v>
      </c>
      <c r="K29" s="61">
        <v>13.2299995422363</v>
      </c>
      <c r="L29" s="61"/>
      <c r="M29" s="61">
        <v>7.0799999237060502</v>
      </c>
      <c r="N29" s="61">
        <v>12</v>
      </c>
      <c r="O29" s="61"/>
      <c r="P29" s="61"/>
      <c r="Q29" s="61"/>
      <c r="R29" s="61"/>
      <c r="S29" s="61"/>
      <c r="T29" s="61"/>
      <c r="U29" s="24">
        <v>600</v>
      </c>
    </row>
    <row r="30" spans="1:21" x14ac:dyDescent="0.2">
      <c r="A30" s="92" t="s">
        <v>261</v>
      </c>
      <c r="B30" s="51" t="s">
        <v>262</v>
      </c>
      <c r="C30" s="52" t="s">
        <v>145</v>
      </c>
      <c r="D30" s="52" t="s">
        <v>69</v>
      </c>
      <c r="E30" s="52" t="s">
        <v>68</v>
      </c>
      <c r="F30" s="89">
        <f>JobSummaryItemId1754 / G30</f>
        <v>301.83756360583823</v>
      </c>
      <c r="G30" s="54">
        <v>1.3200000524520901</v>
      </c>
      <c r="H30" s="61">
        <v>1.20000004768372</v>
      </c>
      <c r="I30" s="61">
        <v>1.20000004768372</v>
      </c>
      <c r="J30" s="61">
        <v>1.1000000238418599</v>
      </c>
      <c r="K30" s="61"/>
      <c r="L30" s="61"/>
      <c r="M30" s="61"/>
      <c r="N30" s="61"/>
      <c r="O30" s="61"/>
      <c r="P30" s="61"/>
      <c r="Q30" s="61">
        <v>1.1000000238418599</v>
      </c>
      <c r="R30" s="61"/>
      <c r="S30" s="61"/>
      <c r="T30" s="61"/>
      <c r="U30" s="24">
        <v>600</v>
      </c>
    </row>
    <row r="31" spans="1:21" x14ac:dyDescent="0.2">
      <c r="A31" s="92" t="s">
        <v>263</v>
      </c>
      <c r="B31" s="51" t="s">
        <v>264</v>
      </c>
      <c r="C31" s="52" t="s">
        <v>139</v>
      </c>
      <c r="D31" s="52" t="s">
        <v>69</v>
      </c>
      <c r="E31" s="52" t="s">
        <v>68</v>
      </c>
      <c r="F31" s="89">
        <f>JobSummaryItemId1756 / G31</f>
        <v>45.057357865950301</v>
      </c>
      <c r="G31" s="54">
        <v>46.180000305175803</v>
      </c>
      <c r="H31" s="61">
        <v>8.6000003814697301</v>
      </c>
      <c r="I31" s="61"/>
      <c r="J31" s="61">
        <v>5.3699998855590803</v>
      </c>
      <c r="K31" s="61">
        <v>5.3699998855590803</v>
      </c>
      <c r="L31" s="61"/>
      <c r="M31" s="61"/>
      <c r="N31" s="61">
        <v>4.3000001907348597</v>
      </c>
      <c r="O31" s="61"/>
      <c r="P31" s="61"/>
      <c r="Q31" s="61"/>
      <c r="R31" s="61"/>
      <c r="S31" s="61"/>
      <c r="T31" s="61">
        <v>5.3699998855590803</v>
      </c>
      <c r="U31" s="24">
        <v>600</v>
      </c>
    </row>
    <row r="32" spans="1:21" x14ac:dyDescent="0.2">
      <c r="A32" s="92" t="s">
        <v>263</v>
      </c>
      <c r="B32" s="51" t="s">
        <v>264</v>
      </c>
      <c r="C32" s="52" t="s">
        <v>145</v>
      </c>
      <c r="D32" s="52" t="s">
        <v>69</v>
      </c>
      <c r="E32" s="52" t="s">
        <v>68</v>
      </c>
      <c r="F32" s="89">
        <f>JobSummaryItemId1758 / G32</f>
        <v>247.13309435383644</v>
      </c>
      <c r="G32" s="54">
        <v>1.6499999761581401</v>
      </c>
      <c r="H32" s="61">
        <v>1.5</v>
      </c>
      <c r="I32" s="61">
        <v>1.5</v>
      </c>
      <c r="J32" s="61">
        <v>1.1000000238418599</v>
      </c>
      <c r="K32" s="61">
        <v>1.1000000238418599</v>
      </c>
      <c r="L32" s="61"/>
      <c r="M32" s="61"/>
      <c r="N32" s="61"/>
      <c r="O32" s="61"/>
      <c r="P32" s="61"/>
      <c r="Q32" s="61"/>
      <c r="R32" s="61"/>
      <c r="S32" s="61"/>
      <c r="T32" s="61"/>
      <c r="U32" s="24">
        <v>600</v>
      </c>
    </row>
    <row r="33" spans="1:21" x14ac:dyDescent="0.2">
      <c r="A33" s="92" t="s">
        <v>265</v>
      </c>
      <c r="B33" s="51" t="s">
        <v>266</v>
      </c>
      <c r="C33" s="52" t="s">
        <v>139</v>
      </c>
      <c r="D33" s="52" t="s">
        <v>69</v>
      </c>
      <c r="E33" s="52" t="s">
        <v>68</v>
      </c>
      <c r="F33" s="89">
        <f>JobSummaryItemId1764 / G33</f>
        <v>43.047119904386612</v>
      </c>
      <c r="G33" s="54">
        <v>44.040000915527301</v>
      </c>
      <c r="H33" s="61">
        <v>8.1999998092651403</v>
      </c>
      <c r="I33" s="61"/>
      <c r="J33" s="61"/>
      <c r="K33" s="61"/>
      <c r="L33" s="61"/>
      <c r="M33" s="61"/>
      <c r="N33" s="61">
        <v>4.0999999046325701</v>
      </c>
      <c r="O33" s="61"/>
      <c r="P33" s="61"/>
      <c r="Q33" s="61"/>
      <c r="R33" s="61"/>
      <c r="S33" s="61"/>
      <c r="T33" s="61">
        <v>10.7399997711182</v>
      </c>
      <c r="U33" s="24">
        <v>600</v>
      </c>
    </row>
    <row r="34" spans="1:21" x14ac:dyDescent="0.2">
      <c r="A34" s="92" t="s">
        <v>265</v>
      </c>
      <c r="B34" s="51" t="s">
        <v>266</v>
      </c>
      <c r="C34" s="52" t="s">
        <v>145</v>
      </c>
      <c r="D34" s="52" t="s">
        <v>69</v>
      </c>
      <c r="E34" s="52" t="s">
        <v>68</v>
      </c>
      <c r="F34" s="89">
        <f>JobSummaryItemId1763 / G34</f>
        <v>247.13309435383644</v>
      </c>
      <c r="G34" s="54">
        <v>1.6499999761581401</v>
      </c>
      <c r="H34" s="61">
        <v>1.5</v>
      </c>
      <c r="I34" s="61">
        <v>1.5</v>
      </c>
      <c r="J34" s="61">
        <v>1.1000000238418599</v>
      </c>
      <c r="K34" s="61">
        <v>1.1000000238418599</v>
      </c>
      <c r="L34" s="61"/>
      <c r="M34" s="61"/>
      <c r="N34" s="61"/>
      <c r="O34" s="61"/>
      <c r="P34" s="61"/>
      <c r="Q34" s="61"/>
      <c r="R34" s="61"/>
      <c r="S34" s="61"/>
      <c r="T34" s="61"/>
      <c r="U34" s="24">
        <v>600</v>
      </c>
    </row>
    <row r="35" spans="1:21" x14ac:dyDescent="0.2">
      <c r="A35" s="92" t="s">
        <v>267</v>
      </c>
      <c r="B35" s="51" t="s">
        <v>268</v>
      </c>
      <c r="C35" s="52" t="s">
        <v>139</v>
      </c>
      <c r="D35" s="52" t="s">
        <v>69</v>
      </c>
      <c r="E35" s="52" t="s">
        <v>68</v>
      </c>
      <c r="F35" s="89">
        <f>JobSummaryItemId1768 / G35</f>
        <v>43.659557967818749</v>
      </c>
      <c r="G35" s="54">
        <v>92.360000610351605</v>
      </c>
      <c r="H35" s="61">
        <v>17.200000762939499</v>
      </c>
      <c r="I35" s="61"/>
      <c r="J35" s="61">
        <v>10.7399997711182</v>
      </c>
      <c r="K35" s="61">
        <v>10.7399997711182</v>
      </c>
      <c r="L35" s="61"/>
      <c r="M35" s="61"/>
      <c r="N35" s="61">
        <v>8.6000003814697301</v>
      </c>
      <c r="O35" s="61"/>
      <c r="P35" s="61"/>
      <c r="Q35" s="61"/>
      <c r="R35" s="61"/>
      <c r="S35" s="61"/>
      <c r="T35" s="61">
        <v>10.7399997711182</v>
      </c>
      <c r="U35" s="24">
        <v>600</v>
      </c>
    </row>
    <row r="36" spans="1:21" x14ac:dyDescent="0.2">
      <c r="A36" s="92" t="s">
        <v>267</v>
      </c>
      <c r="B36" s="51" t="s">
        <v>268</v>
      </c>
      <c r="C36" s="52" t="s">
        <v>145</v>
      </c>
      <c r="D36" s="52" t="s">
        <v>69</v>
      </c>
      <c r="E36" s="52" t="s">
        <v>68</v>
      </c>
      <c r="F36" s="89">
        <f>JobSummaryItemId1766 / G36</f>
        <v>247.13309435383644</v>
      </c>
      <c r="G36" s="54">
        <v>1.6499999761581401</v>
      </c>
      <c r="H36" s="61">
        <v>1.5</v>
      </c>
      <c r="I36" s="61">
        <v>1.5</v>
      </c>
      <c r="J36" s="61">
        <v>1.1000000238418599</v>
      </c>
      <c r="K36" s="61">
        <v>1.1000000238418599</v>
      </c>
      <c r="L36" s="61"/>
      <c r="M36" s="61"/>
      <c r="N36" s="61"/>
      <c r="O36" s="61"/>
      <c r="P36" s="61"/>
      <c r="Q36" s="61"/>
      <c r="R36" s="61"/>
      <c r="S36" s="61"/>
      <c r="T36" s="61"/>
      <c r="U36" s="24">
        <v>600</v>
      </c>
    </row>
    <row r="37" spans="1:21" x14ac:dyDescent="0.2">
      <c r="A37" s="92" t="s">
        <v>267</v>
      </c>
      <c r="B37" s="51" t="s">
        <v>268</v>
      </c>
      <c r="C37" s="52" t="s">
        <v>145</v>
      </c>
      <c r="D37" s="52" t="s">
        <v>69</v>
      </c>
      <c r="E37" s="52" t="s">
        <v>68</v>
      </c>
      <c r="F37" s="89">
        <f>JobSummaryItemId1767 / G37</f>
        <v>247.13309435383644</v>
      </c>
      <c r="G37" s="54">
        <v>1.6499999761581401</v>
      </c>
      <c r="H37" s="61">
        <v>1.5</v>
      </c>
      <c r="I37" s="61">
        <v>1.5</v>
      </c>
      <c r="J37" s="61">
        <v>1.1000000238418599</v>
      </c>
      <c r="K37" s="61">
        <v>1.1000000238418599</v>
      </c>
      <c r="L37" s="61"/>
      <c r="M37" s="61"/>
      <c r="N37" s="61"/>
      <c r="O37" s="61"/>
      <c r="P37" s="61"/>
      <c r="Q37" s="61"/>
      <c r="R37" s="61"/>
      <c r="S37" s="61"/>
      <c r="T37" s="61"/>
      <c r="U37" s="24">
        <v>600</v>
      </c>
    </row>
    <row r="38" spans="1:21" x14ac:dyDescent="0.2">
      <c r="A38" s="92" t="s">
        <v>269</v>
      </c>
      <c r="B38" s="51" t="s">
        <v>270</v>
      </c>
      <c r="C38" s="52" t="s">
        <v>139</v>
      </c>
      <c r="D38" s="52" t="s">
        <v>69</v>
      </c>
      <c r="E38" s="52" t="s">
        <v>68</v>
      </c>
      <c r="F38" s="89">
        <f>JobSummaryItemId1770 / G38</f>
        <v>48.796048723358517</v>
      </c>
      <c r="G38" s="54">
        <v>84.650001525878906</v>
      </c>
      <c r="H38" s="61">
        <v>13.6000003814697</v>
      </c>
      <c r="I38" s="61"/>
      <c r="J38" s="61">
        <v>12.670000076293899</v>
      </c>
      <c r="K38" s="61">
        <v>12.670000076293899</v>
      </c>
      <c r="L38" s="61"/>
      <c r="M38" s="61">
        <v>9.2200002670288104</v>
      </c>
      <c r="N38" s="61">
        <v>12.5200004577637</v>
      </c>
      <c r="O38" s="61"/>
      <c r="P38" s="61"/>
      <c r="Q38" s="61"/>
      <c r="R38" s="61"/>
      <c r="S38" s="61"/>
      <c r="T38" s="61"/>
      <c r="U38" s="24">
        <v>600</v>
      </c>
    </row>
    <row r="39" spans="1:21" x14ac:dyDescent="0.2">
      <c r="A39" s="92" t="s">
        <v>269</v>
      </c>
      <c r="B39" s="51" t="s">
        <v>270</v>
      </c>
      <c r="C39" s="52" t="s">
        <v>156</v>
      </c>
      <c r="D39" s="52" t="s">
        <v>69</v>
      </c>
      <c r="E39" s="52" t="s">
        <v>68</v>
      </c>
      <c r="F39" s="89">
        <f>JobSummaryItemId1773 / G39</f>
        <v>251.27010664904012</v>
      </c>
      <c r="G39" s="54">
        <v>2.0999999046325701</v>
      </c>
      <c r="H39" s="61">
        <v>1.79999995231628</v>
      </c>
      <c r="I39" s="61"/>
      <c r="J39" s="61">
        <v>1.16999995708466</v>
      </c>
      <c r="K39" s="61">
        <v>1.16999995708466</v>
      </c>
      <c r="L39" s="61"/>
      <c r="M39" s="61"/>
      <c r="N39" s="61">
        <v>0.89999997615814198</v>
      </c>
      <c r="O39" s="61"/>
      <c r="P39" s="61"/>
      <c r="Q39" s="61">
        <v>2.3399999141693102</v>
      </c>
      <c r="R39" s="61"/>
      <c r="S39" s="61"/>
      <c r="T39" s="61"/>
      <c r="U39" s="24">
        <v>600</v>
      </c>
    </row>
    <row r="40" spans="1:21" x14ac:dyDescent="0.2">
      <c r="A40" s="92" t="s">
        <v>269</v>
      </c>
      <c r="B40" s="51" t="s">
        <v>270</v>
      </c>
      <c r="C40" s="52" t="s">
        <v>199</v>
      </c>
      <c r="D40" s="52" t="s">
        <v>69</v>
      </c>
      <c r="E40" s="52" t="s">
        <v>68</v>
      </c>
      <c r="F40" s="89">
        <f>JobSummaryItemId1771 / G40</f>
        <v>92.571515648493431</v>
      </c>
      <c r="G40" s="54">
        <v>5.4899997711181596</v>
      </c>
      <c r="H40" s="61">
        <v>3</v>
      </c>
      <c r="I40" s="61">
        <v>3</v>
      </c>
      <c r="J40" s="61">
        <v>1.83000004291534</v>
      </c>
      <c r="K40" s="61"/>
      <c r="L40" s="61"/>
      <c r="M40" s="61"/>
      <c r="N40" s="61"/>
      <c r="O40" s="61"/>
      <c r="P40" s="61"/>
      <c r="Q40" s="61">
        <v>1.83000004291534</v>
      </c>
      <c r="R40" s="61"/>
      <c r="S40" s="61"/>
      <c r="T40" s="61"/>
      <c r="U40" s="24">
        <v>600</v>
      </c>
    </row>
    <row r="41" spans="1:21" x14ac:dyDescent="0.2">
      <c r="A41" s="92" t="s">
        <v>271</v>
      </c>
      <c r="B41" s="51" t="s">
        <v>272</v>
      </c>
      <c r="C41" s="52" t="s">
        <v>139</v>
      </c>
      <c r="D41" s="52" t="s">
        <v>69</v>
      </c>
      <c r="E41" s="52" t="s">
        <v>68</v>
      </c>
      <c r="F41" s="89">
        <f>JobSummaryItemId1777 / G41</f>
        <v>43.204467211078928</v>
      </c>
      <c r="G41" s="54">
        <v>65.919998168945298</v>
      </c>
      <c r="H41" s="61">
        <v>13</v>
      </c>
      <c r="I41" s="61"/>
      <c r="J41" s="61">
        <v>10.1400003433228</v>
      </c>
      <c r="K41" s="61">
        <v>10.1400003433228</v>
      </c>
      <c r="L41" s="61"/>
      <c r="M41" s="61"/>
      <c r="N41" s="61">
        <v>6.5</v>
      </c>
      <c r="O41" s="61"/>
      <c r="P41" s="61"/>
      <c r="Q41" s="61"/>
      <c r="R41" s="61"/>
      <c r="S41" s="61"/>
      <c r="T41" s="61"/>
      <c r="U41" s="24">
        <v>600</v>
      </c>
    </row>
    <row r="42" spans="1:21" x14ac:dyDescent="0.2">
      <c r="A42" s="92" t="s">
        <v>271</v>
      </c>
      <c r="B42" s="51" t="s">
        <v>272</v>
      </c>
      <c r="C42" s="52" t="s">
        <v>199</v>
      </c>
      <c r="D42" s="52" t="s">
        <v>69</v>
      </c>
      <c r="E42" s="52" t="s">
        <v>68</v>
      </c>
      <c r="F42" s="89">
        <f>JobSummaryItemId1776 / G42</f>
        <v>89.041363397921657</v>
      </c>
      <c r="G42" s="54">
        <v>9.9899997711181605</v>
      </c>
      <c r="H42" s="61">
        <v>4.4000000953674299</v>
      </c>
      <c r="I42" s="61">
        <v>44</v>
      </c>
      <c r="J42" s="61">
        <v>2.2699999809265101</v>
      </c>
      <c r="K42" s="61">
        <v>2.2699999809265101</v>
      </c>
      <c r="L42" s="61"/>
      <c r="M42" s="61"/>
      <c r="N42" s="61"/>
      <c r="O42" s="61"/>
      <c r="P42" s="61"/>
      <c r="Q42" s="61"/>
      <c r="R42" s="61"/>
      <c r="S42" s="61"/>
      <c r="T42" s="61"/>
      <c r="U42" s="24">
        <v>600</v>
      </c>
    </row>
    <row r="43" spans="1:21" x14ac:dyDescent="0.2">
      <c r="A43" s="92" t="s">
        <v>273</v>
      </c>
      <c r="B43" s="51" t="s">
        <v>274</v>
      </c>
      <c r="C43" s="52" t="s">
        <v>139</v>
      </c>
      <c r="D43" s="52" t="s">
        <v>69</v>
      </c>
      <c r="E43" s="52" t="s">
        <v>68</v>
      </c>
      <c r="F43" s="89">
        <f>JobSummaryItemId1781 / G43</f>
        <v>41.484154879084841</v>
      </c>
      <c r="G43" s="54">
        <v>131.82000732421901</v>
      </c>
      <c r="H43" s="61">
        <v>26</v>
      </c>
      <c r="I43" s="61"/>
      <c r="J43" s="61">
        <v>10.1400003433228</v>
      </c>
      <c r="K43" s="61">
        <v>10.1400003433228</v>
      </c>
      <c r="L43" s="61"/>
      <c r="M43" s="61"/>
      <c r="N43" s="61">
        <v>13</v>
      </c>
      <c r="O43" s="61"/>
      <c r="P43" s="61"/>
      <c r="Q43" s="61"/>
      <c r="R43" s="61"/>
      <c r="S43" s="61"/>
      <c r="T43" s="61">
        <v>10.1400003433228</v>
      </c>
      <c r="U43" s="24">
        <v>600</v>
      </c>
    </row>
    <row r="44" spans="1:21" x14ac:dyDescent="0.2">
      <c r="A44" s="92" t="s">
        <v>273</v>
      </c>
      <c r="B44" s="51" t="s">
        <v>274</v>
      </c>
      <c r="C44" s="52" t="s">
        <v>199</v>
      </c>
      <c r="D44" s="52" t="s">
        <v>69</v>
      </c>
      <c r="E44" s="52" t="s">
        <v>68</v>
      </c>
      <c r="F44" s="89">
        <f>JobSummaryItemId1778 / G44</f>
        <v>89.041363397921657</v>
      </c>
      <c r="G44" s="54">
        <v>9.9899997711181605</v>
      </c>
      <c r="H44" s="61">
        <v>4.4000000953674299</v>
      </c>
      <c r="I44" s="61">
        <v>44</v>
      </c>
      <c r="J44" s="61">
        <v>2.2699999809265101</v>
      </c>
      <c r="K44" s="61">
        <v>2.2699999809265101</v>
      </c>
      <c r="L44" s="61"/>
      <c r="M44" s="61"/>
      <c r="N44" s="61"/>
      <c r="O44" s="61"/>
      <c r="P44" s="61"/>
      <c r="Q44" s="61"/>
      <c r="R44" s="61"/>
      <c r="S44" s="61"/>
      <c r="T44" s="61"/>
      <c r="U44" s="24">
        <v>600</v>
      </c>
    </row>
    <row r="45" spans="1:21" x14ac:dyDescent="0.2">
      <c r="A45" s="92" t="s">
        <v>273</v>
      </c>
      <c r="B45" s="51" t="s">
        <v>274</v>
      </c>
      <c r="C45" s="52" t="s">
        <v>199</v>
      </c>
      <c r="D45" s="52" t="s">
        <v>69</v>
      </c>
      <c r="E45" s="52" t="s">
        <v>68</v>
      </c>
      <c r="F45" s="89">
        <f>JobSummaryItemId1780 / G45</f>
        <v>89.041363397921657</v>
      </c>
      <c r="G45" s="54">
        <v>9.9899997711181605</v>
      </c>
      <c r="H45" s="61">
        <v>4.4000000953674299</v>
      </c>
      <c r="I45" s="61">
        <v>44</v>
      </c>
      <c r="J45" s="61">
        <v>2.2699999809265101</v>
      </c>
      <c r="K45" s="61">
        <v>2.2699999809265101</v>
      </c>
      <c r="L45" s="61"/>
      <c r="M45" s="61"/>
      <c r="N45" s="61"/>
      <c r="O45" s="61"/>
      <c r="P45" s="61"/>
      <c r="Q45" s="61"/>
      <c r="R45" s="61"/>
      <c r="S45" s="61"/>
      <c r="T45" s="61"/>
      <c r="U45" s="24">
        <v>600</v>
      </c>
    </row>
    <row r="46" spans="1:21" x14ac:dyDescent="0.2">
      <c r="A46" s="92" t="s">
        <v>275</v>
      </c>
      <c r="B46" s="51" t="s">
        <v>276</v>
      </c>
      <c r="C46" s="52" t="s">
        <v>139</v>
      </c>
      <c r="D46" s="52" t="s">
        <v>69</v>
      </c>
      <c r="E46" s="52" t="s">
        <v>68</v>
      </c>
      <c r="F46" s="89">
        <f>JobSummaryItemId1795 / G46</f>
        <v>58.716991502149995</v>
      </c>
      <c r="G46" s="54">
        <v>51.590000152587898</v>
      </c>
      <c r="H46" s="61">
        <v>11.800000190734901</v>
      </c>
      <c r="I46" s="61">
        <v>1.70000004768372</v>
      </c>
      <c r="J46" s="61">
        <v>7.3299999237060502</v>
      </c>
      <c r="K46" s="61">
        <v>7.3299999237060502</v>
      </c>
      <c r="L46" s="61"/>
      <c r="M46" s="61">
        <v>3.8399999141693102</v>
      </c>
      <c r="N46" s="61">
        <v>7.1999998092651403</v>
      </c>
      <c r="O46" s="61"/>
      <c r="P46" s="61"/>
      <c r="Q46" s="61">
        <v>4.2800002098083496</v>
      </c>
      <c r="R46" s="61"/>
      <c r="S46" s="61"/>
      <c r="T46" s="61">
        <v>5.9200000762939498</v>
      </c>
      <c r="U46" s="24">
        <v>600</v>
      </c>
    </row>
    <row r="47" spans="1:21" x14ac:dyDescent="0.2">
      <c r="A47" s="92" t="s">
        <v>275</v>
      </c>
      <c r="B47" s="51" t="s">
        <v>276</v>
      </c>
      <c r="C47" s="52" t="s">
        <v>145</v>
      </c>
      <c r="D47" s="52" t="s">
        <v>69</v>
      </c>
      <c r="E47" s="52" t="s">
        <v>68</v>
      </c>
      <c r="F47" s="89">
        <f>JobSummaryItemId1784 / G47</f>
        <v>163.58071300257521</v>
      </c>
      <c r="G47" s="54">
        <v>3.1099998950958301</v>
      </c>
      <c r="H47" s="61">
        <v>1.70000004768372</v>
      </c>
      <c r="I47" s="61">
        <v>1.70000004768372</v>
      </c>
      <c r="J47" s="61">
        <v>1.83000004291534</v>
      </c>
      <c r="K47" s="61">
        <v>1.83000004291534</v>
      </c>
      <c r="L47" s="61"/>
      <c r="M47" s="61"/>
      <c r="N47" s="61"/>
      <c r="O47" s="61"/>
      <c r="P47" s="61"/>
      <c r="Q47" s="61"/>
      <c r="R47" s="61"/>
      <c r="S47" s="61"/>
      <c r="T47" s="61"/>
      <c r="U47" s="24">
        <v>600</v>
      </c>
    </row>
    <row r="48" spans="1:21" x14ac:dyDescent="0.2">
      <c r="A48" s="92" t="s">
        <v>277</v>
      </c>
      <c r="B48" s="51" t="s">
        <v>278</v>
      </c>
      <c r="C48" s="52" t="s">
        <v>139</v>
      </c>
      <c r="D48" s="52" t="s">
        <v>69</v>
      </c>
      <c r="E48" s="52" t="s">
        <v>68</v>
      </c>
      <c r="F48" s="89">
        <f>JobSummaryItemId1788 / G48</f>
        <v>58.491294483907453</v>
      </c>
      <c r="G48" s="54">
        <v>49.2299995422363</v>
      </c>
      <c r="H48" s="61">
        <v>11.3999996185303</v>
      </c>
      <c r="I48" s="61">
        <v>1.70000004768372</v>
      </c>
      <c r="J48" s="61">
        <v>1.4099999666214</v>
      </c>
      <c r="K48" s="61">
        <v>1.4099999666214</v>
      </c>
      <c r="L48" s="61"/>
      <c r="M48" s="61">
        <v>3.8399999141693102</v>
      </c>
      <c r="N48" s="61">
        <v>7</v>
      </c>
      <c r="O48" s="61"/>
      <c r="P48" s="61"/>
      <c r="Q48" s="61">
        <v>4.2800002098083496</v>
      </c>
      <c r="R48" s="61"/>
      <c r="S48" s="61"/>
      <c r="T48" s="61">
        <v>11.8400001525879</v>
      </c>
      <c r="U48" s="24">
        <v>600</v>
      </c>
    </row>
    <row r="49" spans="1:21" x14ac:dyDescent="0.2">
      <c r="A49" s="92" t="s">
        <v>277</v>
      </c>
      <c r="B49" s="51" t="s">
        <v>278</v>
      </c>
      <c r="C49" s="52" t="s">
        <v>145</v>
      </c>
      <c r="D49" s="52" t="s">
        <v>69</v>
      </c>
      <c r="E49" s="52" t="s">
        <v>68</v>
      </c>
      <c r="F49" s="89">
        <f>JobSummaryItemId1786 / G49</f>
        <v>163.58071300257521</v>
      </c>
      <c r="G49" s="54">
        <v>3.1099998950958301</v>
      </c>
      <c r="H49" s="61">
        <v>1.70000004768372</v>
      </c>
      <c r="I49" s="61">
        <v>1.70000004768372</v>
      </c>
      <c r="J49" s="61">
        <v>1.83000004291534</v>
      </c>
      <c r="K49" s="61">
        <v>1.83000004291534</v>
      </c>
      <c r="L49" s="61"/>
      <c r="M49" s="61"/>
      <c r="N49" s="61"/>
      <c r="O49" s="61"/>
      <c r="P49" s="61"/>
      <c r="Q49" s="61"/>
      <c r="R49" s="61"/>
      <c r="S49" s="61"/>
      <c r="T49" s="61"/>
      <c r="U49" s="24">
        <v>600</v>
      </c>
    </row>
    <row r="50" spans="1:21" x14ac:dyDescent="0.2">
      <c r="A50" s="92" t="s">
        <v>279</v>
      </c>
      <c r="B50" s="51" t="s">
        <v>280</v>
      </c>
      <c r="C50" s="52" t="s">
        <v>139</v>
      </c>
      <c r="D50" s="52" t="s">
        <v>69</v>
      </c>
      <c r="E50" s="52" t="s">
        <v>68</v>
      </c>
      <c r="F50" s="89">
        <f>JobSummaryItemId1792 / G50</f>
        <v>57.667878758253046</v>
      </c>
      <c r="G50" s="54">
        <v>102.01999664306599</v>
      </c>
      <c r="H50" s="61">
        <v>23.399999618530298</v>
      </c>
      <c r="I50" s="61">
        <v>3.4000000953674299</v>
      </c>
      <c r="J50" s="61">
        <v>14.6599998474121</v>
      </c>
      <c r="K50" s="61">
        <v>14.6599998474121</v>
      </c>
      <c r="L50" s="61"/>
      <c r="M50" s="61">
        <v>7.6799998283386204</v>
      </c>
      <c r="N50" s="61">
        <v>14.300000190734901</v>
      </c>
      <c r="O50" s="61"/>
      <c r="P50" s="61"/>
      <c r="Q50" s="61">
        <v>8.5600004196166992</v>
      </c>
      <c r="R50" s="61"/>
      <c r="S50" s="61"/>
      <c r="T50" s="61">
        <v>11.8400001525879</v>
      </c>
      <c r="U50" s="24">
        <v>600</v>
      </c>
    </row>
    <row r="51" spans="1:21" x14ac:dyDescent="0.2">
      <c r="A51" s="92" t="s">
        <v>279</v>
      </c>
      <c r="B51" s="51" t="s">
        <v>280</v>
      </c>
      <c r="C51" s="52" t="s">
        <v>145</v>
      </c>
      <c r="D51" s="52" t="s">
        <v>69</v>
      </c>
      <c r="E51" s="52" t="s">
        <v>68</v>
      </c>
      <c r="F51" s="89">
        <f>JobSummaryItemId1791 / G51</f>
        <v>117.49659560317794</v>
      </c>
      <c r="G51" s="54">
        <v>6.2199997901916504</v>
      </c>
      <c r="H51" s="61">
        <v>3.4000000953674299</v>
      </c>
      <c r="I51" s="61">
        <v>3.4000000953674299</v>
      </c>
      <c r="J51" s="61">
        <v>1.83000004291534</v>
      </c>
      <c r="K51" s="61">
        <v>1.83000004291534</v>
      </c>
      <c r="L51" s="61"/>
      <c r="M51" s="61"/>
      <c r="N51" s="61"/>
      <c r="O51" s="61"/>
      <c r="P51" s="61"/>
      <c r="Q51" s="61"/>
      <c r="R51" s="61"/>
      <c r="S51" s="61"/>
      <c r="T51" s="61"/>
      <c r="U51" s="24">
        <v>600</v>
      </c>
    </row>
    <row r="52" spans="1:21" x14ac:dyDescent="0.2">
      <c r="A52" s="92" t="s">
        <v>281</v>
      </c>
      <c r="B52" s="51" t="s">
        <v>282</v>
      </c>
      <c r="C52" s="52" t="s">
        <v>139</v>
      </c>
      <c r="D52" s="52" t="s">
        <v>69</v>
      </c>
      <c r="E52" s="52" t="s">
        <v>68</v>
      </c>
      <c r="F52" s="89">
        <f>JobSummaryItemId1799 / G52</f>
        <v>40.945460294836849</v>
      </c>
      <c r="G52" s="54">
        <v>105.639999389648</v>
      </c>
      <c r="H52" s="61">
        <v>18.600000381469702</v>
      </c>
      <c r="I52" s="61"/>
      <c r="J52" s="61">
        <v>11.3599996566772</v>
      </c>
      <c r="K52" s="61">
        <v>11.3599996566772</v>
      </c>
      <c r="L52" s="61"/>
      <c r="M52" s="61"/>
      <c r="N52" s="61">
        <v>9.3000001907348597</v>
      </c>
      <c r="O52" s="61"/>
      <c r="P52" s="61"/>
      <c r="Q52" s="61"/>
      <c r="R52" s="61"/>
      <c r="S52" s="61"/>
      <c r="T52" s="61"/>
      <c r="U52" s="24">
        <v>600</v>
      </c>
    </row>
    <row r="53" spans="1:21" x14ac:dyDescent="0.2">
      <c r="A53" s="92" t="s">
        <v>281</v>
      </c>
      <c r="B53" s="51" t="s">
        <v>282</v>
      </c>
      <c r="C53" s="52" t="s">
        <v>156</v>
      </c>
      <c r="D53" s="52" t="s">
        <v>69</v>
      </c>
      <c r="E53" s="52" t="s">
        <v>68</v>
      </c>
      <c r="F53" s="89">
        <f>JobSummaryItemId1800 / G53</f>
        <v>251.27010664904012</v>
      </c>
      <c r="G53" s="54">
        <v>2.0999999046325701</v>
      </c>
      <c r="H53" s="61">
        <v>1.79999995231628</v>
      </c>
      <c r="I53" s="61"/>
      <c r="J53" s="61">
        <v>1.16999995708466</v>
      </c>
      <c r="K53" s="61">
        <v>1.16999995708466</v>
      </c>
      <c r="L53" s="61"/>
      <c r="M53" s="61"/>
      <c r="N53" s="61">
        <v>0.89999997615814198</v>
      </c>
      <c r="O53" s="61"/>
      <c r="P53" s="61"/>
      <c r="Q53" s="61">
        <v>2.3399999141693102</v>
      </c>
      <c r="R53" s="61"/>
      <c r="S53" s="61"/>
      <c r="T53" s="61"/>
      <c r="U53" s="24">
        <v>600</v>
      </c>
    </row>
    <row r="54" spans="1:21" x14ac:dyDescent="0.2">
      <c r="A54" s="92" t="s">
        <v>283</v>
      </c>
      <c r="B54" s="51" t="s">
        <v>284</v>
      </c>
      <c r="C54" s="52" t="s">
        <v>139</v>
      </c>
      <c r="D54" s="52" t="s">
        <v>69</v>
      </c>
      <c r="E54" s="52" t="s">
        <v>68</v>
      </c>
      <c r="F54" s="89">
        <f>JobSummaryItemId1803 / G54</f>
        <v>47.753158717697097</v>
      </c>
      <c r="G54" s="54">
        <v>101.040000915527</v>
      </c>
      <c r="H54" s="61">
        <v>13.1000003814697</v>
      </c>
      <c r="I54" s="61"/>
      <c r="J54" s="61">
        <v>14.6499996185303</v>
      </c>
      <c r="K54" s="61">
        <v>14.6499996185303</v>
      </c>
      <c r="L54" s="61"/>
      <c r="M54" s="61">
        <v>11.460000038146999</v>
      </c>
      <c r="N54" s="61">
        <v>13.4700002670288</v>
      </c>
      <c r="O54" s="61"/>
      <c r="P54" s="61"/>
      <c r="Q54" s="61"/>
      <c r="R54" s="61"/>
      <c r="S54" s="61"/>
      <c r="T54" s="61"/>
      <c r="U54" s="24">
        <v>600</v>
      </c>
    </row>
    <row r="55" spans="1:21" x14ac:dyDescent="0.2">
      <c r="A55" s="92" t="s">
        <v>283</v>
      </c>
      <c r="B55" s="51" t="s">
        <v>284</v>
      </c>
      <c r="C55" s="52" t="s">
        <v>156</v>
      </c>
      <c r="D55" s="52" t="s">
        <v>69</v>
      </c>
      <c r="E55" s="52" t="s">
        <v>68</v>
      </c>
      <c r="F55" s="89">
        <f>JobSummaryItemId1802 / G55</f>
        <v>251.27010664904012</v>
      </c>
      <c r="G55" s="54">
        <v>2.0999999046325701</v>
      </c>
      <c r="H55" s="61">
        <v>1.79999995231628</v>
      </c>
      <c r="I55" s="61"/>
      <c r="J55" s="61">
        <v>1.16999995708466</v>
      </c>
      <c r="K55" s="61">
        <v>1.16999995708466</v>
      </c>
      <c r="L55" s="61"/>
      <c r="M55" s="61"/>
      <c r="N55" s="61">
        <v>0.89999997615814198</v>
      </c>
      <c r="O55" s="61"/>
      <c r="P55" s="61"/>
      <c r="Q55" s="61">
        <v>2.3399999141693102</v>
      </c>
      <c r="R55" s="61"/>
      <c r="S55" s="61"/>
      <c r="T55" s="61"/>
      <c r="U55" s="24">
        <v>600</v>
      </c>
    </row>
    <row r="56" spans="1:21" x14ac:dyDescent="0.2">
      <c r="A56" s="92" t="s">
        <v>285</v>
      </c>
      <c r="B56" s="51" t="s">
        <v>286</v>
      </c>
      <c r="C56" s="52" t="s">
        <v>227</v>
      </c>
      <c r="D56" s="52" t="s">
        <v>69</v>
      </c>
      <c r="E56" s="52" t="s">
        <v>68</v>
      </c>
      <c r="F56" s="89">
        <f>JobSummaryItemId1819 / G56</f>
        <v>43.494049641131717</v>
      </c>
      <c r="G56" s="54">
        <v>55.740001678466797</v>
      </c>
      <c r="H56" s="61">
        <v>13.3999996185303</v>
      </c>
      <c r="I56" s="61"/>
      <c r="J56" s="61">
        <v>8.3199996948242205</v>
      </c>
      <c r="K56" s="61">
        <v>8.3199996948242205</v>
      </c>
      <c r="L56" s="61"/>
      <c r="M56" s="61"/>
      <c r="N56" s="61">
        <v>6.6999998092651403</v>
      </c>
      <c r="O56" s="61"/>
      <c r="P56" s="61"/>
      <c r="Q56" s="61"/>
      <c r="R56" s="61"/>
      <c r="S56" s="61"/>
      <c r="T56" s="61"/>
      <c r="U56" s="24">
        <v>600</v>
      </c>
    </row>
    <row r="57" spans="1:21" x14ac:dyDescent="0.2">
      <c r="A57" s="92" t="s">
        <v>287</v>
      </c>
      <c r="B57" s="51" t="s">
        <v>288</v>
      </c>
      <c r="C57" s="52" t="s">
        <v>227</v>
      </c>
      <c r="D57" s="52" t="s">
        <v>69</v>
      </c>
      <c r="E57" s="52" t="s">
        <v>68</v>
      </c>
      <c r="F57" s="89">
        <f>JobSummaryItemId1810 / G57</f>
        <v>57.825413473590302</v>
      </c>
      <c r="G57" s="54">
        <v>51.560001373291001</v>
      </c>
      <c r="H57" s="61">
        <v>26.799999237060501</v>
      </c>
      <c r="I57" s="61"/>
      <c r="J57" s="61"/>
      <c r="K57" s="61"/>
      <c r="L57" s="61">
        <v>18.959999084472699</v>
      </c>
      <c r="M57" s="61"/>
      <c r="N57" s="61">
        <v>1</v>
      </c>
      <c r="O57" s="61"/>
      <c r="P57" s="61"/>
      <c r="Q57" s="61"/>
      <c r="R57" s="61"/>
      <c r="S57" s="61"/>
      <c r="T57" s="61"/>
      <c r="U57" s="24">
        <v>600</v>
      </c>
    </row>
    <row r="58" spans="1:21" x14ac:dyDescent="0.2">
      <c r="A58" s="92" t="s">
        <v>289</v>
      </c>
      <c r="B58" s="51" t="s">
        <v>290</v>
      </c>
      <c r="C58" s="52" t="s">
        <v>227</v>
      </c>
      <c r="D58" s="52" t="s">
        <v>69</v>
      </c>
      <c r="E58" s="52" t="s">
        <v>68</v>
      </c>
      <c r="F58" s="89">
        <f>JobSummaryItemId1817 / G58</f>
        <v>55.81077650625452</v>
      </c>
      <c r="G58" s="54">
        <v>59.900001525878899</v>
      </c>
      <c r="H58" s="61">
        <v>28.799999237060501</v>
      </c>
      <c r="I58" s="61"/>
      <c r="J58" s="61"/>
      <c r="K58" s="61"/>
      <c r="L58" s="61">
        <v>22</v>
      </c>
      <c r="M58" s="61"/>
      <c r="N58" s="61"/>
      <c r="O58" s="61"/>
      <c r="P58" s="61"/>
      <c r="Q58" s="61"/>
      <c r="R58" s="61"/>
      <c r="S58" s="61"/>
      <c r="T58" s="61"/>
      <c r="U58" s="24">
        <v>600</v>
      </c>
    </row>
    <row r="59" spans="1:21" x14ac:dyDescent="0.2">
      <c r="A59" s="92" t="s">
        <v>291</v>
      </c>
      <c r="B59" s="51" t="s">
        <v>292</v>
      </c>
      <c r="C59" s="52" t="s">
        <v>227</v>
      </c>
      <c r="D59" s="52" t="s">
        <v>69</v>
      </c>
      <c r="E59" s="52" t="s">
        <v>68</v>
      </c>
      <c r="F59" s="89">
        <f>JobSummaryItemId1806 / G59</f>
        <v>47.07252610636862</v>
      </c>
      <c r="G59" s="54">
        <v>29.120000839233398</v>
      </c>
      <c r="H59" s="61">
        <v>7</v>
      </c>
      <c r="I59" s="61"/>
      <c r="J59" s="61">
        <v>8.3199996948242205</v>
      </c>
      <c r="K59" s="61">
        <v>8.3199996948242205</v>
      </c>
      <c r="L59" s="61"/>
      <c r="M59" s="61"/>
      <c r="N59" s="61">
        <v>3.5</v>
      </c>
      <c r="O59" s="61"/>
      <c r="P59" s="61"/>
      <c r="Q59" s="61"/>
      <c r="R59" s="61"/>
      <c r="S59" s="61"/>
      <c r="T59" s="61"/>
      <c r="U59" s="24">
        <v>600</v>
      </c>
    </row>
    <row r="60" spans="1:21" x14ac:dyDescent="0.2">
      <c r="A60" s="92" t="s">
        <v>293</v>
      </c>
      <c r="B60" s="51" t="s">
        <v>294</v>
      </c>
      <c r="C60" s="52" t="s">
        <v>227</v>
      </c>
      <c r="D60" s="52" t="s">
        <v>69</v>
      </c>
      <c r="E60" s="52" t="s">
        <v>68</v>
      </c>
      <c r="F60" s="89">
        <f>JobSummaryItemId1812 / G60</f>
        <v>44.814006544334021</v>
      </c>
      <c r="G60" s="54">
        <v>55.740001678466797</v>
      </c>
      <c r="H60" s="61">
        <v>13.3999996185303</v>
      </c>
      <c r="I60" s="61"/>
      <c r="J60" s="61">
        <v>8.3199996948242205</v>
      </c>
      <c r="K60" s="61">
        <v>8.3199996948242205</v>
      </c>
      <c r="L60" s="61"/>
      <c r="M60" s="61"/>
      <c r="N60" s="61">
        <v>6.6999998092651403</v>
      </c>
      <c r="O60" s="61"/>
      <c r="P60" s="61"/>
      <c r="Q60" s="61"/>
      <c r="R60" s="61"/>
      <c r="S60" s="61"/>
      <c r="T60" s="61">
        <v>8.3199996948242205</v>
      </c>
      <c r="U60" s="24">
        <v>600</v>
      </c>
    </row>
    <row r="61" spans="1:21" x14ac:dyDescent="0.2">
      <c r="A61" s="92" t="s">
        <v>295</v>
      </c>
      <c r="B61" s="51" t="s">
        <v>296</v>
      </c>
      <c r="C61" s="52" t="s">
        <v>227</v>
      </c>
      <c r="D61" s="52" t="s">
        <v>69</v>
      </c>
      <c r="E61" s="52" t="s">
        <v>68</v>
      </c>
      <c r="F61" s="89">
        <f>JobSummaryItemId1815 / G61</f>
        <v>57.039063620207486</v>
      </c>
      <c r="G61" s="54">
        <v>59.900001525878899</v>
      </c>
      <c r="H61" s="61">
        <v>28.799999237060501</v>
      </c>
      <c r="I61" s="61"/>
      <c r="J61" s="61"/>
      <c r="K61" s="61"/>
      <c r="L61" s="61">
        <v>22</v>
      </c>
      <c r="M61" s="61"/>
      <c r="N61" s="61"/>
      <c r="O61" s="61"/>
      <c r="P61" s="61"/>
      <c r="Q61" s="61"/>
      <c r="R61" s="61"/>
      <c r="S61" s="61"/>
      <c r="T61" s="61">
        <v>8.3199996948242205</v>
      </c>
      <c r="U61" s="24">
        <v>600</v>
      </c>
    </row>
    <row r="62" spans="1:21" x14ac:dyDescent="0.2">
      <c r="A62" s="50"/>
      <c r="B62" s="51"/>
      <c r="C62" s="52"/>
      <c r="D62" s="52"/>
      <c r="E62" s="52"/>
      <c r="F62" s="89"/>
      <c r="G62" s="54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</row>
    <row r="63" spans="1:21" ht="13.5" thickBot="1" x14ac:dyDescent="0.25">
      <c r="G63" s="79">
        <f>SUM(G10:G62)</f>
        <v>1980.4300097227078</v>
      </c>
      <c r="H63" s="79">
        <f t="shared" ref="H63:Q63" si="0">SUM(H10:H62)</f>
        <v>480.19999706745125</v>
      </c>
      <c r="I63" s="79">
        <f t="shared" si="0"/>
        <v>174.80000030994415</v>
      </c>
      <c r="J63" s="79">
        <f t="shared" si="0"/>
        <v>233.63999927043923</v>
      </c>
      <c r="K63" s="79">
        <f t="shared" si="0"/>
        <v>229.60999917984017</v>
      </c>
      <c r="L63" s="79">
        <f t="shared" si="0"/>
        <v>62.959999084472699</v>
      </c>
      <c r="M63" s="79">
        <f t="shared" si="0"/>
        <v>61.239999771118192</v>
      </c>
      <c r="N63" s="79">
        <f t="shared" si="0"/>
        <v>207.92000031471261</v>
      </c>
      <c r="O63" s="79">
        <f t="shared" si="0"/>
        <v>0</v>
      </c>
      <c r="P63" s="79">
        <f t="shared" si="0"/>
        <v>0</v>
      </c>
      <c r="Q63" s="79">
        <f t="shared" si="0"/>
        <v>34.910000681877143</v>
      </c>
      <c r="R63" s="79">
        <f>SUM(R10:R62)</f>
        <v>0</v>
      </c>
      <c r="S63" s="79">
        <f t="shared" ref="S63" si="1">SUM(S10:S62)</f>
        <v>0</v>
      </c>
      <c r="T63" s="79">
        <f t="shared" ref="T63" si="2">SUM(T10:T62)</f>
        <v>122.75000000000016</v>
      </c>
    </row>
    <row r="64" spans="1:21" ht="13.5" thickTop="1" x14ac:dyDescent="0.2"/>
    <row r="66" spans="1:12" x14ac:dyDescent="0.2">
      <c r="A66" s="25" t="s">
        <v>46</v>
      </c>
    </row>
    <row r="68" spans="1:12" x14ac:dyDescent="0.2">
      <c r="A68" s="46" t="s">
        <v>39</v>
      </c>
      <c r="B68" s="47" t="s">
        <v>40</v>
      </c>
      <c r="C68" s="47" t="s">
        <v>6</v>
      </c>
      <c r="D68" s="47" t="s">
        <v>31</v>
      </c>
      <c r="E68" s="47" t="s">
        <v>62</v>
      </c>
      <c r="F68" s="47" t="s">
        <v>65</v>
      </c>
      <c r="G68" s="80" t="s">
        <v>50</v>
      </c>
      <c r="H68" s="80" t="s">
        <v>41</v>
      </c>
      <c r="I68" s="80" t="s">
        <v>51</v>
      </c>
      <c r="J68" s="80" t="s">
        <v>49</v>
      </c>
      <c r="K68" s="80" t="s">
        <v>47</v>
      </c>
      <c r="L68" s="80" t="s">
        <v>48</v>
      </c>
    </row>
    <row r="69" spans="1:12" s="66" customFormat="1" x14ac:dyDescent="0.2">
      <c r="A69" s="86"/>
      <c r="F69" s="87"/>
      <c r="G69" s="85"/>
      <c r="H69" s="85"/>
      <c r="I69" s="85"/>
      <c r="J69" s="85"/>
      <c r="K69" s="85"/>
      <c r="L69" s="85"/>
    </row>
    <row r="70" spans="1:12" s="66" customFormat="1" x14ac:dyDescent="0.2">
      <c r="A70" s="81"/>
      <c r="B70" s="82"/>
      <c r="C70" s="83"/>
      <c r="D70" s="83"/>
      <c r="E70" s="83"/>
      <c r="F70" s="88"/>
      <c r="G70" s="84"/>
      <c r="H70" s="85"/>
      <c r="I70" s="85"/>
      <c r="J70" s="85"/>
      <c r="K70" s="85"/>
      <c r="L70" s="85"/>
    </row>
    <row r="71" spans="1:12" ht="13.5" thickBot="1" x14ac:dyDescent="0.25">
      <c r="G71" s="79">
        <f>SUM(G69:G70)</f>
        <v>0</v>
      </c>
      <c r="H71" s="79">
        <f t="shared" ref="H71:L71" si="3">SUM(H69:H70)</f>
        <v>0</v>
      </c>
      <c r="I71" s="79">
        <f t="shared" si="3"/>
        <v>0</v>
      </c>
      <c r="J71" s="79">
        <f t="shared" si="3"/>
        <v>0</v>
      </c>
      <c r="K71" s="79">
        <f t="shared" si="3"/>
        <v>0</v>
      </c>
      <c r="L71" s="79">
        <f t="shared" si="3"/>
        <v>0</v>
      </c>
    </row>
    <row r="72" spans="1:12" ht="13.5" thickTop="1" x14ac:dyDescent="0.2"/>
  </sheetData>
  <autoFilter ref="A9:U9" xr:uid="{00000000-0009-0000-0000-000003000000}"/>
  <conditionalFormatting sqref="G10:H61 J10:K61 N10:N61 U10:U61">
    <cfRule type="cellIs" dxfId="1" priority="1" operator="equal">
      <formula>0</formula>
    </cfRule>
  </conditionalFormatting>
  <conditionalFormatting sqref="G10:G61">
    <cfRule type="expression" dxfId="0" priority="2">
      <formula>AND(ISERR(SEARCH("Main Roof",C10))=FALSE, $G10&lt;70)</formula>
    </cfRule>
  </conditionalFormatting>
  <pageMargins left="0.7" right="0.7" top="0.75" bottom="0.75" header="0.3" footer="0.3"/>
  <pageSetup paperSize="8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46B53-F5C5-4FCD-AE9C-41A4D20892B1}">
  <dimension ref="A1:G96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204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199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9.99</v>
      </c>
      <c r="C9" s="23"/>
      <c r="D9" s="26"/>
    </row>
    <row r="10" spans="1:7" x14ac:dyDescent="0.2">
      <c r="A10" s="23" t="s">
        <v>114</v>
      </c>
      <c r="B10" s="24">
        <v>4.4000000000000004</v>
      </c>
      <c r="C10" s="23"/>
      <c r="D10" s="26"/>
    </row>
    <row r="11" spans="1:7" x14ac:dyDescent="0.2">
      <c r="A11" s="23" t="s">
        <v>141</v>
      </c>
      <c r="B11" s="24">
        <v>44</v>
      </c>
      <c r="C11" s="23"/>
      <c r="D11" s="26"/>
    </row>
    <row r="12" spans="1:7" x14ac:dyDescent="0.2">
      <c r="A12" s="23" t="s">
        <v>115</v>
      </c>
      <c r="B12" s="24">
        <v>2.27</v>
      </c>
      <c r="C12" s="23"/>
      <c r="D12" s="26"/>
    </row>
    <row r="13" spans="1:7" x14ac:dyDescent="0.2">
      <c r="A13" s="23" t="s">
        <v>116</v>
      </c>
      <c r="B13" s="24">
        <v>2.27</v>
      </c>
      <c r="C13" s="23"/>
      <c r="D13" s="26"/>
    </row>
    <row r="14" spans="1:7" x14ac:dyDescent="0.2">
      <c r="A14" s="23" t="s">
        <v>119</v>
      </c>
      <c r="B14" s="24">
        <v>600</v>
      </c>
      <c r="C14" s="23"/>
      <c r="D14" s="26"/>
    </row>
    <row r="15" spans="1:7" x14ac:dyDescent="0.2">
      <c r="A15" s="23" t="s">
        <v>120</v>
      </c>
      <c r="B15" s="24">
        <v>22.5</v>
      </c>
      <c r="C15" s="23"/>
      <c r="D15" s="26"/>
    </row>
    <row r="16" spans="1:7" x14ac:dyDescent="0.2">
      <c r="A16" s="23"/>
      <c r="C16" s="23"/>
      <c r="D16" s="26"/>
    </row>
    <row r="17" spans="1:7" x14ac:dyDescent="0.2">
      <c r="A17" s="23"/>
      <c r="B17" s="27"/>
      <c r="C17" s="23"/>
      <c r="D17" s="26"/>
    </row>
    <row r="18" spans="1:7" x14ac:dyDescent="0.2">
      <c r="A18" s="28" t="s">
        <v>10</v>
      </c>
      <c r="B18" s="28"/>
      <c r="C18" s="28"/>
      <c r="D18" s="28"/>
      <c r="E18" s="28"/>
      <c r="F18" s="28"/>
      <c r="G18" s="28"/>
    </row>
    <row r="19" spans="1:7" x14ac:dyDescent="0.2">
      <c r="A19" s="28"/>
      <c r="B19" s="28"/>
      <c r="C19" s="28"/>
      <c r="D19" s="28"/>
      <c r="E19" s="28"/>
      <c r="F19" s="28"/>
      <c r="G19" s="28"/>
    </row>
    <row r="20" spans="1:7" x14ac:dyDescent="0.2">
      <c r="A20" s="29" t="s">
        <v>121</v>
      </c>
      <c r="B20" s="24" t="s">
        <v>122</v>
      </c>
      <c r="C20" s="29"/>
      <c r="D20" s="29"/>
      <c r="E20" s="29"/>
      <c r="F20" s="29"/>
    </row>
    <row r="21" spans="1:7" x14ac:dyDescent="0.2">
      <c r="A21" s="29" t="s">
        <v>123</v>
      </c>
      <c r="B21" s="24" t="s">
        <v>124</v>
      </c>
      <c r="C21" s="29"/>
      <c r="D21" s="29"/>
      <c r="E21" s="29"/>
      <c r="F21" s="29"/>
    </row>
    <row r="22" spans="1:7" x14ac:dyDescent="0.2">
      <c r="A22" s="29"/>
      <c r="B22" s="24" t="s">
        <v>154</v>
      </c>
      <c r="C22" s="29"/>
      <c r="D22" s="29"/>
      <c r="E22" s="29"/>
      <c r="F22" s="29"/>
    </row>
    <row r="23" spans="1:7" x14ac:dyDescent="0.2">
      <c r="A23" s="29" t="s">
        <v>126</v>
      </c>
      <c r="B23" s="24" t="s">
        <v>127</v>
      </c>
      <c r="C23" s="29"/>
      <c r="D23" s="29"/>
      <c r="E23" s="29"/>
      <c r="F23" s="29"/>
    </row>
    <row r="24" spans="1:7" x14ac:dyDescent="0.2">
      <c r="A24" s="29"/>
      <c r="B24" s="24" t="s">
        <v>142</v>
      </c>
      <c r="C24" s="29"/>
      <c r="D24" s="29"/>
      <c r="E24" s="29"/>
      <c r="F24" s="29"/>
    </row>
    <row r="25" spans="1:7" x14ac:dyDescent="0.2">
      <c r="A25" s="29" t="s">
        <v>129</v>
      </c>
      <c r="B25" s="24" t="s">
        <v>130</v>
      </c>
      <c r="C25" s="29"/>
      <c r="D25" s="29"/>
      <c r="E25" s="29"/>
      <c r="F25" s="29"/>
    </row>
    <row r="26" spans="1:7" x14ac:dyDescent="0.2">
      <c r="A26" s="29" t="s">
        <v>134</v>
      </c>
      <c r="B26" s="24" t="s">
        <v>135</v>
      </c>
      <c r="C26" s="29"/>
      <c r="D26" s="29"/>
      <c r="E26" s="29"/>
      <c r="F26" s="29"/>
    </row>
    <row r="27" spans="1:7" x14ac:dyDescent="0.2">
      <c r="A27" s="29" t="s">
        <v>136</v>
      </c>
      <c r="B27" s="24" t="s">
        <v>137</v>
      </c>
      <c r="C27" s="29"/>
      <c r="D27" s="29"/>
      <c r="E27" s="29"/>
      <c r="F27" s="29"/>
    </row>
    <row r="28" spans="1:7" x14ac:dyDescent="0.2">
      <c r="A28" s="29" t="s">
        <v>143</v>
      </c>
      <c r="B28" s="24" t="s">
        <v>144</v>
      </c>
      <c r="C28" s="29"/>
      <c r="D28" s="29"/>
      <c r="E28" s="29"/>
      <c r="F28" s="29"/>
    </row>
    <row r="29" spans="1:7" x14ac:dyDescent="0.2">
      <c r="A29" s="29"/>
      <c r="C29" s="29"/>
      <c r="D29" s="29"/>
      <c r="E29" s="29"/>
      <c r="F29" s="29"/>
    </row>
    <row r="30" spans="1:7" x14ac:dyDescent="0.2">
      <c r="A30" s="29"/>
      <c r="C30" s="29"/>
      <c r="D30" s="29"/>
      <c r="E30" s="29"/>
      <c r="F30" s="29"/>
    </row>
    <row r="31" spans="1:7" x14ac:dyDescent="0.2">
      <c r="A31" s="25" t="s">
        <v>14</v>
      </c>
      <c r="B31" s="25"/>
      <c r="C31" s="25"/>
      <c r="D31" s="25"/>
      <c r="E31" s="25"/>
      <c r="F31" s="25"/>
      <c r="G31" s="25"/>
    </row>
    <row r="33" spans="1:7" s="29" customFormat="1" x14ac:dyDescent="0.2">
      <c r="A33" s="29" t="s">
        <v>25</v>
      </c>
      <c r="B33" s="29" t="s">
        <v>38</v>
      </c>
      <c r="C33" s="29" t="s">
        <v>2</v>
      </c>
      <c r="D33" s="30" t="s">
        <v>9</v>
      </c>
      <c r="E33" s="30" t="s">
        <v>3</v>
      </c>
      <c r="F33" s="30" t="s">
        <v>4</v>
      </c>
      <c r="G33" s="30" t="s">
        <v>16</v>
      </c>
    </row>
    <row r="34" spans="1:7" x14ac:dyDescent="0.2">
      <c r="A34" s="24" t="str">
        <f>MatP8815C0Colour</f>
        <v>Not Specified</v>
      </c>
      <c r="B34" s="24" t="str">
        <f>IF(MatP8815C0Code=0,"",MatP8815C0Code)</f>
        <v/>
      </c>
      <c r="C34" s="24" t="str">
        <f>MatP8815C0Desc</f>
        <v>TLE Tile</v>
      </c>
      <c r="D34" s="31">
        <v>108</v>
      </c>
      <c r="E34" s="32">
        <f>MatP8815C0Price</f>
        <v>1.2</v>
      </c>
      <c r="F34" s="33" t="str">
        <f>MatP8815C0PerText</f>
        <v>Each</v>
      </c>
      <c r="G34" s="32">
        <f t="shared" ref="G34:G48" si="0">D34 * E34</f>
        <v>129.6</v>
      </c>
    </row>
    <row r="35" spans="1:7" x14ac:dyDescent="0.2">
      <c r="A35" s="24" t="str">
        <f>MatP10135C0Colour</f>
        <v>Not Specified</v>
      </c>
      <c r="B35" s="24" t="str">
        <f>IF(MatP10135C0Code=0,"",MatP10135C0Code)</f>
        <v/>
      </c>
      <c r="C35" s="24" t="str">
        <f>MatP10135C0Desc</f>
        <v>VP300 Vapour Permeable Underlay (50m x 1m)</v>
      </c>
      <c r="D35" s="31">
        <v>0.5</v>
      </c>
      <c r="E35" s="32">
        <f>MatP10135C0Price</f>
        <v>35</v>
      </c>
      <c r="F35" s="33" t="str">
        <f>MatP10135C0PerText</f>
        <v>Roll</v>
      </c>
      <c r="G35" s="32">
        <f t="shared" si="0"/>
        <v>17.5</v>
      </c>
    </row>
    <row r="36" spans="1:7" x14ac:dyDescent="0.2">
      <c r="A36" s="24" t="str">
        <f>MatP9008C0Colour</f>
        <v>Not Specified</v>
      </c>
      <c r="B36" s="24" t="str">
        <f>IF(MatP9008C0Code=0,"",MatP9008C0Code)</f>
        <v/>
      </c>
      <c r="C36" s="24" t="str">
        <f>MatP9008C0Desc</f>
        <v>Battens (50mm x 25mm)</v>
      </c>
      <c r="D36" s="31">
        <v>32</v>
      </c>
      <c r="E36" s="32">
        <f>MatP9008C0Price</f>
        <v>0.9</v>
      </c>
      <c r="F36" s="33" t="str">
        <f>MatP9008C0PerText</f>
        <v>Metre</v>
      </c>
      <c r="G36" s="32">
        <f t="shared" si="0"/>
        <v>28.8</v>
      </c>
    </row>
    <row r="37" spans="1:7" x14ac:dyDescent="0.2">
      <c r="A37" s="24" t="str">
        <f>MatP8869C0Colour</f>
        <v>Not Specified</v>
      </c>
      <c r="B37" s="24" t="str">
        <f>IF(MatP8869C0Code=0,"",MatP8869C0Code)</f>
        <v/>
      </c>
      <c r="C37" s="24" t="str">
        <f>MatP8869C0Desc</f>
        <v>RH Uni-Fix Dry Verge Unit</v>
      </c>
      <c r="D37" s="31">
        <v>14</v>
      </c>
      <c r="E37" s="32">
        <f>MatP8869C0Price</f>
        <v>1.1000000000000001</v>
      </c>
      <c r="F37" s="33" t="str">
        <f>MatP8869C0PerText</f>
        <v>Each</v>
      </c>
      <c r="G37" s="32">
        <f t="shared" si="0"/>
        <v>15.400000000000002</v>
      </c>
    </row>
    <row r="38" spans="1:7" x14ac:dyDescent="0.2">
      <c r="A38" s="24" t="str">
        <f>MatP8857C0Colour</f>
        <v>Not Specified</v>
      </c>
      <c r="B38" s="24" t="str">
        <f>IF(MatP8857C0Code=0,"",MatP8857C0Code)</f>
        <v/>
      </c>
      <c r="C38" s="24" t="str">
        <f>MatP8857C0Desc</f>
        <v>LH Uni-Fix Dry Verge Unit</v>
      </c>
      <c r="D38" s="31">
        <v>14</v>
      </c>
      <c r="E38" s="32">
        <f>MatP8857C0Price</f>
        <v>1.1000000000000001</v>
      </c>
      <c r="F38" s="33" t="str">
        <f>MatP8857C0PerText</f>
        <v>Each</v>
      </c>
      <c r="G38" s="32">
        <f t="shared" si="0"/>
        <v>15.400000000000002</v>
      </c>
    </row>
    <row r="39" spans="1:7" x14ac:dyDescent="0.2">
      <c r="A39" s="24" t="str">
        <f>MatP8830C20Colour</f>
        <v>Not Specified</v>
      </c>
      <c r="B39" s="24" t="str">
        <f>IF(MatP8830C20Code=0,"",MatP8830C20Code)</f>
        <v/>
      </c>
      <c r="C39" s="24" t="str">
        <f>MatP8830C20Desc</f>
        <v>Dry Verge Starter Unit</v>
      </c>
      <c r="D39" s="31">
        <v>2</v>
      </c>
      <c r="E39" s="32">
        <f>MatP8830C20Price</f>
        <v>1.51</v>
      </c>
      <c r="F39" s="33" t="str">
        <f>MatP8830C20PerText</f>
        <v>Each</v>
      </c>
      <c r="G39" s="32">
        <f t="shared" si="0"/>
        <v>3.02</v>
      </c>
    </row>
    <row r="40" spans="1:7" x14ac:dyDescent="0.2">
      <c r="A40" s="24" t="str">
        <f>MatP8821C20Colour</f>
        <v>Not Specified</v>
      </c>
      <c r="B40" s="24" t="str">
        <f>IF(MatP8821C20Code=0,"",MatP8821C20Code)</f>
        <v/>
      </c>
      <c r="C40" s="24" t="str">
        <f>MatP8821C20Desc</f>
        <v>25mm Over Fascia Vent (1m)</v>
      </c>
      <c r="D40" s="31">
        <v>5</v>
      </c>
      <c r="E40" s="32">
        <f>MatP8821C20Price</f>
        <v>1.9</v>
      </c>
      <c r="F40" s="33" t="str">
        <f>MatP8821C20PerText</f>
        <v>Each</v>
      </c>
      <c r="G40" s="32">
        <f t="shared" si="0"/>
        <v>9.5</v>
      </c>
    </row>
    <row r="41" spans="1:7" x14ac:dyDescent="0.2">
      <c r="A41" s="24" t="str">
        <f>MatP8281C0Colour</f>
        <v>Not Specified</v>
      </c>
      <c r="B41" s="24" t="str">
        <f>IF(MatP8281C0Code=0,"",MatP8281C0Code)</f>
        <v/>
      </c>
      <c r="C41" s="24" t="str">
        <f>MatP8281C0Desc</f>
        <v>Generic Eave Insulation (1m)</v>
      </c>
      <c r="D41" s="31">
        <v>5</v>
      </c>
      <c r="E41" s="32">
        <f>MatP8281C0Price</f>
        <v>5</v>
      </c>
      <c r="F41" s="33" t="str">
        <f>MatP8281C0PerText</f>
        <v>Each</v>
      </c>
      <c r="G41" s="32">
        <f t="shared" si="0"/>
        <v>25</v>
      </c>
    </row>
    <row r="42" spans="1:7" x14ac:dyDescent="0.2">
      <c r="A42" s="24" t="str">
        <f>MatP8866C20Colour</f>
        <v>Not Specified</v>
      </c>
      <c r="B42" s="24" t="str">
        <f>IF(MatP8866C20Code=0,"",MatP8866C20Code)</f>
        <v/>
      </c>
      <c r="C42" s="24" t="str">
        <f>MatP8866C20Desc</f>
        <v>Rafter Roll (6m x 600mm)</v>
      </c>
      <c r="D42" s="31">
        <v>1</v>
      </c>
      <c r="E42" s="32">
        <f>MatP8866C20Price</f>
        <v>9.5</v>
      </c>
      <c r="F42" s="33" t="str">
        <f>MatP8866C20PerText</f>
        <v>Each</v>
      </c>
      <c r="G42" s="32">
        <f t="shared" si="0"/>
        <v>9.5</v>
      </c>
    </row>
    <row r="43" spans="1:7" x14ac:dyDescent="0.2">
      <c r="A43" s="24" t="str">
        <f>MatP8874C20Colour</f>
        <v>Not Specified</v>
      </c>
      <c r="B43" s="24" t="str">
        <f>IF(MatP8874C20Code=0,"",MatP8874C20Code)</f>
        <v/>
      </c>
      <c r="C43" s="24" t="str">
        <f>MatP8874C20Desc</f>
        <v>Underlay Support Tray (1.5m)</v>
      </c>
      <c r="D43" s="31">
        <v>3</v>
      </c>
      <c r="E43" s="32">
        <f>MatP8874C20Price</f>
        <v>1.5</v>
      </c>
      <c r="F43" s="33" t="str">
        <f>MatP8874C20PerText</f>
        <v>Each</v>
      </c>
      <c r="G43" s="32">
        <f t="shared" si="0"/>
        <v>4.5</v>
      </c>
    </row>
    <row r="44" spans="1:7" x14ac:dyDescent="0.2">
      <c r="A44" s="24" t="str">
        <f>MatP8826C539Colour</f>
        <v>Not Specified</v>
      </c>
      <c r="B44" s="24" t="str">
        <f>IF(MatP8826C539Code=0,"",MatP8826C539Code)</f>
        <v/>
      </c>
      <c r="C44" s="24" t="str">
        <f>MatP8826C539Desc</f>
        <v>Metal Batten End Clips</v>
      </c>
      <c r="D44" s="31">
        <v>14</v>
      </c>
      <c r="E44" s="32">
        <f>MatP8826C539Price</f>
        <v>0.28000000000000003</v>
      </c>
      <c r="F44" s="33" t="str">
        <f>MatP8826C539PerText</f>
        <v>Each</v>
      </c>
      <c r="G44" s="32">
        <f t="shared" si="0"/>
        <v>3.9200000000000004</v>
      </c>
    </row>
    <row r="45" spans="1:7" x14ac:dyDescent="0.2">
      <c r="A45" s="24" t="str">
        <f>MatP8831C539Colour</f>
        <v>Not Specified</v>
      </c>
      <c r="B45" s="24" t="str">
        <f>IF(MatP8831C539Code=0,"",MatP8831C539Code)</f>
        <v/>
      </c>
      <c r="C45" s="24" t="str">
        <f>MatP8831C539Desc</f>
        <v>Eave Clip</v>
      </c>
      <c r="D45" s="31">
        <v>15</v>
      </c>
      <c r="E45" s="32">
        <f>MatP8831C539Price</f>
        <v>0.1</v>
      </c>
      <c r="F45" s="33" t="str">
        <f>MatP8831C539PerText</f>
        <v>Each</v>
      </c>
      <c r="G45" s="32">
        <f t="shared" si="0"/>
        <v>1.5</v>
      </c>
    </row>
    <row r="46" spans="1:7" x14ac:dyDescent="0.2">
      <c r="A46" s="24" t="str">
        <f>MatP9318C0Colour</f>
        <v>Not Specified</v>
      </c>
      <c r="B46" s="24" t="str">
        <f>IF(MatP9318C0Code=0,"",MatP9318C0Code)</f>
        <v/>
      </c>
      <c r="C46" s="24" t="str">
        <f>MatP9318C0Desc</f>
        <v>45mm x 3.35mm Aluminium Nails</v>
      </c>
      <c r="D46" s="31">
        <v>0.9999999962747097</v>
      </c>
      <c r="E46" s="32">
        <f>MatP9318C0Price</f>
        <v>7.28</v>
      </c>
      <c r="F46" s="33" t="str">
        <f>MatP9318C0PerText</f>
        <v>Kg</v>
      </c>
      <c r="G46" s="32">
        <f t="shared" si="0"/>
        <v>7.279999972879887</v>
      </c>
    </row>
    <row r="47" spans="1:7" x14ac:dyDescent="0.2">
      <c r="A47" s="24" t="str">
        <f>MatP9100C0Colour</f>
        <v>Not Specified</v>
      </c>
      <c r="B47" s="24" t="str">
        <f>IF(MatP9100C0Code=0,"",MatP9100C0Code)</f>
        <v/>
      </c>
      <c r="C47" s="24" t="str">
        <f>MatP9100C0Desc</f>
        <v>Batten Nails - 65mm x 3.35mm Galvanised</v>
      </c>
      <c r="D47" s="31">
        <v>1</v>
      </c>
      <c r="E47" s="32">
        <f>MatP9100C0Price</f>
        <v>4.5</v>
      </c>
      <c r="F47" s="33" t="str">
        <f>MatP9100C0PerText</f>
        <v>Kg</v>
      </c>
      <c r="G47" s="32">
        <f t="shared" si="0"/>
        <v>4.5</v>
      </c>
    </row>
    <row r="48" spans="1:7" x14ac:dyDescent="0.2">
      <c r="A48" s="24" t="str">
        <f>MatP9066C92Colour</f>
        <v>Not Specified</v>
      </c>
      <c r="B48" s="24" t="str">
        <f>IF(MatP9066C92Code=0,"",MatP9066C92Code)</f>
        <v/>
      </c>
      <c r="C48" s="24" t="str">
        <f>MatP9066C92Desc</f>
        <v>Lead Code 4 - 300mm (6m)</v>
      </c>
      <c r="D48" s="31">
        <v>6</v>
      </c>
      <c r="E48" s="32">
        <f>MatP9066C92Price</f>
        <v>15.21</v>
      </c>
      <c r="F48" s="33" t="str">
        <f>MatP9066C92PerText</f>
        <v>Metre</v>
      </c>
      <c r="G48" s="32">
        <f t="shared" si="0"/>
        <v>91.26</v>
      </c>
    </row>
    <row r="49" spans="1:7" x14ac:dyDescent="0.2">
      <c r="D49" s="31"/>
      <c r="E49" s="32"/>
      <c r="F49" s="33"/>
      <c r="G49" s="32"/>
    </row>
    <row r="50" spans="1:7" x14ac:dyDescent="0.2">
      <c r="F50" s="34" t="s">
        <v>5</v>
      </c>
      <c r="G50" s="35">
        <f>SUM(G34:G49)</f>
        <v>366.6799999728799</v>
      </c>
    </row>
    <row r="51" spans="1:7" x14ac:dyDescent="0.2">
      <c r="G51" s="34"/>
    </row>
    <row r="52" spans="1:7" x14ac:dyDescent="0.2">
      <c r="A52" s="25" t="s">
        <v>15</v>
      </c>
      <c r="B52" s="25"/>
      <c r="D52" s="25"/>
      <c r="E52" s="25"/>
      <c r="F52" s="25"/>
      <c r="G52" s="25"/>
    </row>
    <row r="54" spans="1:7" x14ac:dyDescent="0.2">
      <c r="A54" s="102" t="s">
        <v>6</v>
      </c>
      <c r="B54" s="102"/>
      <c r="C54" s="102"/>
      <c r="D54" s="34" t="s">
        <v>7</v>
      </c>
      <c r="E54" s="34" t="s">
        <v>9</v>
      </c>
      <c r="F54" s="34" t="s">
        <v>8</v>
      </c>
      <c r="G54" s="34" t="s">
        <v>16</v>
      </c>
    </row>
    <row r="55" spans="1:7" x14ac:dyDescent="0.2">
      <c r="A55" s="103" t="str">
        <f>LabP8815R6L1G1Desc</f>
        <v>Main Area</v>
      </c>
      <c r="B55" s="103"/>
      <c r="C55" s="103"/>
      <c r="D55" s="36">
        <f>LabP8815R6L1G1Rate</f>
        <v>9</v>
      </c>
      <c r="E55" s="37">
        <f>'RUF-SMI-Lower Level(1)'!Area</f>
        <v>9.99</v>
      </c>
      <c r="F55" s="27" t="str">
        <f xml:space="preserve"> "" &amp; LabP8815R6L1G1Per</f>
        <v>m²</v>
      </c>
      <c r="G55" s="36">
        <f>D55 * E55</f>
        <v>89.91</v>
      </c>
    </row>
    <row r="56" spans="1:7" x14ac:dyDescent="0.2">
      <c r="A56" s="24" t="str">
        <f>LabP8815R0L1G2Desc</f>
        <v>Eave</v>
      </c>
      <c r="D56" s="36">
        <f>LabP8815R0L1G2Rate</f>
        <v>2.5</v>
      </c>
      <c r="E56" s="37">
        <f>'RUF-SMI-Lower Level(1)'!Eave</f>
        <v>4.4000000000000004</v>
      </c>
      <c r="F56" s="27" t="str">
        <f xml:space="preserve"> "" &amp; LabP8815R0L1G2Per</f>
        <v>m</v>
      </c>
      <c r="G56" s="36">
        <f>D56 * E56</f>
        <v>11</v>
      </c>
    </row>
    <row r="57" spans="1:7" x14ac:dyDescent="0.2">
      <c r="A57" s="24" t="str">
        <f>LabP8815R0L1G3Desc</f>
        <v>Verge</v>
      </c>
      <c r="D57" s="36">
        <f>LabP8815R0L1G3Rate</f>
        <v>2.5</v>
      </c>
      <c r="E57" s="37">
        <f>LeftVerge+RightVerge</f>
        <v>4.54</v>
      </c>
      <c r="F57" s="27" t="str">
        <f xml:space="preserve"> "" &amp; LabP8815R0L1G3Per</f>
        <v>m</v>
      </c>
      <c r="G57" s="36">
        <f>D57 * E57</f>
        <v>11.35</v>
      </c>
    </row>
    <row r="58" spans="1:7" x14ac:dyDescent="0.2">
      <c r="A58" s="24" t="str">
        <f>LabP8815R15L1G243Desc</f>
        <v>Apron Flashing (Code 4)</v>
      </c>
      <c r="D58" s="36">
        <f>LabP8815R15L1G243Rate</f>
        <v>15</v>
      </c>
      <c r="E58" s="37">
        <v>4.4000000000000004</v>
      </c>
      <c r="F58" s="27" t="str">
        <f xml:space="preserve"> "" &amp; LabP8815R15L1G243Per</f>
        <v>m</v>
      </c>
      <c r="G58" s="36">
        <f>D58 * E58</f>
        <v>66</v>
      </c>
    </row>
    <row r="59" spans="1:7" x14ac:dyDescent="0.2">
      <c r="A59" s="24" t="str">
        <f>LabP8815R150LabLabourforLowerLevelDesc</f>
        <v>Labour for Lower Level</v>
      </c>
      <c r="D59" s="36">
        <f>LabP8815R150LabLabourforLowerLevelRate</f>
        <v>150</v>
      </c>
      <c r="E59" s="37">
        <v>1</v>
      </c>
      <c r="F59" s="27" t="str">
        <f xml:space="preserve"> "" &amp; LabP8815R150LabLabourforLowerLevelPer</f>
        <v/>
      </c>
      <c r="G59" s="36">
        <f>D59 * E59</f>
        <v>150</v>
      </c>
    </row>
    <row r="60" spans="1:7" x14ac:dyDescent="0.2">
      <c r="D60" s="36"/>
      <c r="E60" s="37"/>
      <c r="F60" s="27"/>
      <c r="G60" s="36"/>
    </row>
    <row r="61" spans="1:7" x14ac:dyDescent="0.2">
      <c r="A61" s="103"/>
      <c r="B61" s="103"/>
      <c r="C61" s="103"/>
      <c r="D61" s="36"/>
      <c r="E61" s="37"/>
      <c r="G61" s="36"/>
    </row>
    <row r="62" spans="1:7" x14ac:dyDescent="0.2">
      <c r="F62" s="34" t="s">
        <v>5</v>
      </c>
      <c r="G62" s="35">
        <f>SUM(G55:G61)</f>
        <v>328.26</v>
      </c>
    </row>
    <row r="66" spans="1:3" x14ac:dyDescent="0.2">
      <c r="A66" s="34"/>
      <c r="B66" s="38"/>
    </row>
    <row r="68" spans="1:3" x14ac:dyDescent="0.2">
      <c r="A68" s="34"/>
      <c r="B68" s="38"/>
    </row>
    <row r="70" spans="1:3" x14ac:dyDescent="0.2">
      <c r="A70" s="34"/>
      <c r="B70" s="38"/>
    </row>
    <row r="72" spans="1:3" x14ac:dyDescent="0.2">
      <c r="A72" s="34"/>
      <c r="B72" s="38"/>
    </row>
    <row r="75" spans="1:3" x14ac:dyDescent="0.2">
      <c r="A75" s="34"/>
      <c r="B75" s="38"/>
      <c r="C75" s="39"/>
    </row>
    <row r="77" spans="1:3" x14ac:dyDescent="0.2">
      <c r="A77" s="34"/>
      <c r="B77" s="38"/>
    </row>
    <row r="79" spans="1:3" x14ac:dyDescent="0.2">
      <c r="A79" s="34"/>
      <c r="B79" s="38"/>
      <c r="C79" s="39"/>
    </row>
    <row r="81" spans="1:3" x14ac:dyDescent="0.2">
      <c r="A81" s="34"/>
      <c r="B81" s="38"/>
    </row>
    <row r="83" spans="1:3" x14ac:dyDescent="0.2">
      <c r="A83" s="34"/>
      <c r="B83" s="38"/>
    </row>
    <row r="86" spans="1:3" x14ac:dyDescent="0.2">
      <c r="A86" s="34"/>
      <c r="B86" s="38"/>
    </row>
    <row r="88" spans="1:3" x14ac:dyDescent="0.2">
      <c r="A88" s="34"/>
      <c r="B88" s="38"/>
    </row>
    <row r="90" spans="1:3" x14ac:dyDescent="0.2">
      <c r="A90" s="34"/>
      <c r="B90" s="38"/>
      <c r="C90" s="39"/>
    </row>
    <row r="93" spans="1:3" x14ac:dyDescent="0.2">
      <c r="A93" s="34"/>
      <c r="B93" s="40"/>
      <c r="C93" s="23"/>
    </row>
    <row r="96" spans="1:3" x14ac:dyDescent="0.2">
      <c r="A96" s="39"/>
      <c r="B96" s="41"/>
    </row>
  </sheetData>
  <mergeCells count="5">
    <mergeCell ref="B4:F4"/>
    <mergeCell ref="B5:F5"/>
    <mergeCell ref="A54:C54"/>
    <mergeCell ref="A55:C55"/>
    <mergeCell ref="A61:C61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41B68-18C4-4F1A-80E8-B989884B9566}">
  <dimension ref="A1:G119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209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139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51.59</v>
      </c>
      <c r="C9" s="23"/>
      <c r="D9" s="26"/>
    </row>
    <row r="10" spans="1:7" x14ac:dyDescent="0.2">
      <c r="A10" s="23" t="s">
        <v>114</v>
      </c>
      <c r="B10" s="24">
        <v>11.8</v>
      </c>
      <c r="C10" s="23"/>
      <c r="D10" s="26"/>
    </row>
    <row r="11" spans="1:7" x14ac:dyDescent="0.2">
      <c r="A11" s="23" t="s">
        <v>141</v>
      </c>
      <c r="B11" s="24">
        <v>1.7</v>
      </c>
      <c r="C11" s="23"/>
      <c r="D11" s="26"/>
    </row>
    <row r="12" spans="1:7" x14ac:dyDescent="0.2">
      <c r="A12" s="23" t="s">
        <v>115</v>
      </c>
      <c r="B12" s="24">
        <v>7.33</v>
      </c>
      <c r="C12" s="23"/>
      <c r="D12" s="26"/>
    </row>
    <row r="13" spans="1:7" x14ac:dyDescent="0.2">
      <c r="A13" s="23" t="s">
        <v>116</v>
      </c>
      <c r="B13" s="24">
        <v>7.33</v>
      </c>
      <c r="C13" s="23"/>
      <c r="D13" s="26"/>
    </row>
    <row r="14" spans="1:7" x14ac:dyDescent="0.2">
      <c r="A14" s="23" t="s">
        <v>158</v>
      </c>
      <c r="B14" s="24">
        <v>3.84</v>
      </c>
      <c r="C14" s="23"/>
      <c r="D14" s="26"/>
    </row>
    <row r="15" spans="1:7" x14ac:dyDescent="0.2">
      <c r="A15" s="23" t="s">
        <v>117</v>
      </c>
      <c r="B15" s="24">
        <v>7.2</v>
      </c>
      <c r="C15" s="23"/>
      <c r="D15" s="26"/>
    </row>
    <row r="16" spans="1:7" x14ac:dyDescent="0.2">
      <c r="A16" s="23" t="s">
        <v>153</v>
      </c>
      <c r="B16" s="24">
        <v>4.28</v>
      </c>
      <c r="C16" s="23"/>
      <c r="D16" s="26"/>
    </row>
    <row r="17" spans="1:7" x14ac:dyDescent="0.2">
      <c r="A17" s="23" t="s">
        <v>118</v>
      </c>
      <c r="B17" s="24">
        <v>5.92</v>
      </c>
      <c r="C17" s="23"/>
      <c r="D17" s="26"/>
    </row>
    <row r="18" spans="1:7" x14ac:dyDescent="0.2">
      <c r="A18" s="23" t="s">
        <v>119</v>
      </c>
      <c r="B18" s="24">
        <v>600</v>
      </c>
      <c r="C18" s="23"/>
      <c r="D18" s="26"/>
    </row>
    <row r="19" spans="1:7" x14ac:dyDescent="0.2">
      <c r="A19" s="23" t="s">
        <v>120</v>
      </c>
      <c r="B19" s="24" t="s">
        <v>208</v>
      </c>
      <c r="C19" s="23"/>
      <c r="D19" s="26"/>
    </row>
    <row r="20" spans="1:7" x14ac:dyDescent="0.2">
      <c r="A20" s="23"/>
      <c r="C20" s="23"/>
      <c r="D20" s="26"/>
    </row>
    <row r="21" spans="1:7" x14ac:dyDescent="0.2">
      <c r="A21" s="23"/>
      <c r="B21" s="27"/>
      <c r="C21" s="23"/>
      <c r="D21" s="26"/>
    </row>
    <row r="22" spans="1:7" x14ac:dyDescent="0.2">
      <c r="A22" s="28" t="s">
        <v>10</v>
      </c>
      <c r="B22" s="28"/>
      <c r="C22" s="28"/>
      <c r="D22" s="28"/>
      <c r="E22" s="28"/>
      <c r="F22" s="28"/>
      <c r="G22" s="28"/>
    </row>
    <row r="23" spans="1:7" x14ac:dyDescent="0.2">
      <c r="A23" s="28"/>
      <c r="B23" s="28"/>
      <c r="C23" s="28"/>
      <c r="D23" s="28"/>
      <c r="E23" s="28"/>
      <c r="F23" s="28"/>
      <c r="G23" s="28"/>
    </row>
    <row r="24" spans="1:7" x14ac:dyDescent="0.2">
      <c r="A24" s="29" t="s">
        <v>121</v>
      </c>
      <c r="B24" s="24" t="s">
        <v>122</v>
      </c>
      <c r="C24" s="29"/>
      <c r="D24" s="29"/>
      <c r="E24" s="29"/>
      <c r="F24" s="29"/>
    </row>
    <row r="25" spans="1:7" x14ac:dyDescent="0.2">
      <c r="A25" s="29" t="s">
        <v>123</v>
      </c>
      <c r="B25" s="24" t="s">
        <v>124</v>
      </c>
      <c r="C25" s="29"/>
      <c r="D25" s="29"/>
      <c r="E25" s="29"/>
      <c r="F25" s="29"/>
    </row>
    <row r="26" spans="1:7" x14ac:dyDescent="0.2">
      <c r="A26" s="29"/>
      <c r="B26" s="24" t="s">
        <v>125</v>
      </c>
      <c r="C26" s="29"/>
      <c r="D26" s="29"/>
      <c r="E26" s="29"/>
      <c r="F26" s="29"/>
    </row>
    <row r="27" spans="1:7" x14ac:dyDescent="0.2">
      <c r="A27" s="29" t="s">
        <v>126</v>
      </c>
      <c r="B27" s="24" t="s">
        <v>127</v>
      </c>
      <c r="C27" s="29"/>
      <c r="D27" s="29"/>
      <c r="E27" s="29"/>
      <c r="F27" s="29"/>
    </row>
    <row r="28" spans="1:7" x14ac:dyDescent="0.2">
      <c r="A28" s="29"/>
      <c r="B28" s="24" t="s">
        <v>142</v>
      </c>
      <c r="C28" s="29"/>
      <c r="D28" s="29"/>
      <c r="E28" s="29"/>
      <c r="F28" s="29"/>
    </row>
    <row r="29" spans="1:7" x14ac:dyDescent="0.2">
      <c r="A29" s="29" t="s">
        <v>129</v>
      </c>
      <c r="B29" s="24" t="s">
        <v>130</v>
      </c>
      <c r="C29" s="29"/>
      <c r="D29" s="29"/>
      <c r="E29" s="29"/>
      <c r="F29" s="29"/>
    </row>
    <row r="30" spans="1:7" x14ac:dyDescent="0.2">
      <c r="A30" s="29"/>
      <c r="B30" s="24" t="s">
        <v>150</v>
      </c>
      <c r="C30" s="29"/>
      <c r="D30" s="29"/>
      <c r="E30" s="29"/>
      <c r="F30" s="29"/>
    </row>
    <row r="31" spans="1:7" x14ac:dyDescent="0.2">
      <c r="A31" s="29" t="s">
        <v>160</v>
      </c>
      <c r="B31" s="24" t="s">
        <v>161</v>
      </c>
      <c r="C31" s="29"/>
      <c r="D31" s="29"/>
      <c r="E31" s="29"/>
      <c r="F31" s="29"/>
    </row>
    <row r="32" spans="1:7" x14ac:dyDescent="0.2">
      <c r="A32" s="29" t="s">
        <v>132</v>
      </c>
      <c r="B32" s="24" t="s">
        <v>133</v>
      </c>
      <c r="C32" s="29"/>
      <c r="D32" s="29"/>
      <c r="E32" s="29"/>
      <c r="F32" s="29"/>
    </row>
    <row r="33" spans="1:7" x14ac:dyDescent="0.2">
      <c r="A33" s="29" t="s">
        <v>134</v>
      </c>
      <c r="B33" s="24" t="s">
        <v>135</v>
      </c>
      <c r="C33" s="29"/>
      <c r="D33" s="29"/>
      <c r="E33" s="29"/>
      <c r="F33" s="29"/>
    </row>
    <row r="34" spans="1:7" x14ac:dyDescent="0.2">
      <c r="A34" s="29" t="s">
        <v>136</v>
      </c>
      <c r="B34" s="24" t="s">
        <v>137</v>
      </c>
      <c r="C34" s="29"/>
      <c r="D34" s="29"/>
      <c r="E34" s="29"/>
      <c r="F34" s="29"/>
    </row>
    <row r="35" spans="1:7" x14ac:dyDescent="0.2">
      <c r="A35" s="29"/>
      <c r="B35" s="24" t="s">
        <v>162</v>
      </c>
      <c r="C35" s="29"/>
      <c r="D35" s="29"/>
      <c r="E35" s="29"/>
      <c r="F35" s="29"/>
    </row>
    <row r="36" spans="1:7" x14ac:dyDescent="0.2">
      <c r="A36" s="29" t="s">
        <v>143</v>
      </c>
      <c r="B36" s="24" t="s">
        <v>144</v>
      </c>
      <c r="C36" s="29"/>
      <c r="D36" s="29"/>
      <c r="E36" s="29"/>
      <c r="F36" s="29"/>
    </row>
    <row r="37" spans="1:7" x14ac:dyDescent="0.2">
      <c r="A37" s="29"/>
      <c r="B37" s="24" t="s">
        <v>155</v>
      </c>
      <c r="C37" s="29"/>
      <c r="D37" s="29"/>
      <c r="E37" s="29"/>
      <c r="F37" s="29"/>
    </row>
    <row r="38" spans="1:7" x14ac:dyDescent="0.2">
      <c r="A38" s="29"/>
      <c r="C38" s="29"/>
      <c r="D38" s="29"/>
      <c r="E38" s="29"/>
      <c r="F38" s="29"/>
    </row>
    <row r="39" spans="1:7" x14ac:dyDescent="0.2">
      <c r="A39" s="29"/>
      <c r="C39" s="29"/>
      <c r="D39" s="29"/>
      <c r="E39" s="29"/>
      <c r="F39" s="29"/>
    </row>
    <row r="40" spans="1:7" x14ac:dyDescent="0.2">
      <c r="A40" s="25" t="s">
        <v>14</v>
      </c>
      <c r="B40" s="25"/>
      <c r="C40" s="25"/>
      <c r="D40" s="25"/>
      <c r="E40" s="25"/>
      <c r="F40" s="25"/>
      <c r="G40" s="25"/>
    </row>
    <row r="42" spans="1:7" s="29" customFormat="1" x14ac:dyDescent="0.2">
      <c r="A42" s="29" t="s">
        <v>25</v>
      </c>
      <c r="B42" s="29" t="s">
        <v>38</v>
      </c>
      <c r="C42" s="29" t="s">
        <v>2</v>
      </c>
      <c r="D42" s="30" t="s">
        <v>9</v>
      </c>
      <c r="E42" s="30" t="s">
        <v>3</v>
      </c>
      <c r="F42" s="30" t="s">
        <v>4</v>
      </c>
      <c r="G42" s="30" t="s">
        <v>16</v>
      </c>
    </row>
    <row r="43" spans="1:7" x14ac:dyDescent="0.2">
      <c r="A43" s="24" t="str">
        <f>MatP8815C0Colour</f>
        <v>Not Specified</v>
      </c>
      <c r="B43" s="24" t="str">
        <f>IF(MatP8815C0Code=0,"",MatP8815C0Code)</f>
        <v/>
      </c>
      <c r="C43" s="24" t="str">
        <f>MatP8815C0Desc</f>
        <v>TLE Tile</v>
      </c>
      <c r="D43" s="31">
        <v>527</v>
      </c>
      <c r="E43" s="32">
        <f>MatP8815C0Price</f>
        <v>1.2</v>
      </c>
      <c r="F43" s="33" t="str">
        <f>MatP8815C0PerText</f>
        <v>Each</v>
      </c>
      <c r="G43" s="32">
        <f t="shared" ref="G43:G64" si="0">D43 * E43</f>
        <v>632.4</v>
      </c>
    </row>
    <row r="44" spans="1:7" x14ac:dyDescent="0.2">
      <c r="A44" s="24" t="str">
        <f>MatP8870C0Colour</f>
        <v>Not Specified</v>
      </c>
      <c r="B44" s="24" t="str">
        <f>IF(MatP8870C0Code=0,"",MatP8870C0Code)</f>
        <v/>
      </c>
      <c r="C44" s="24" t="str">
        <f>MatP8870C0Desc</f>
        <v>Ridge Tile (450mm)</v>
      </c>
      <c r="D44" s="31">
        <v>17</v>
      </c>
      <c r="E44" s="32">
        <f>MatP8870C0Price</f>
        <v>3.64</v>
      </c>
      <c r="F44" s="33" t="str">
        <f>MatP8870C0PerText</f>
        <v>Each</v>
      </c>
      <c r="G44" s="32">
        <f t="shared" si="0"/>
        <v>61.88</v>
      </c>
    </row>
    <row r="45" spans="1:7" x14ac:dyDescent="0.2">
      <c r="A45" s="24" t="str">
        <f>MatP10135C0Colour</f>
        <v>Not Specified</v>
      </c>
      <c r="B45" s="24" t="str">
        <f>IF(MatP10135C0Code=0,"",MatP10135C0Code)</f>
        <v/>
      </c>
      <c r="C45" s="24" t="str">
        <f>MatP10135C0Desc</f>
        <v>VP300 Vapour Permeable Underlay (50m x 1m)</v>
      </c>
      <c r="D45" s="31">
        <v>2</v>
      </c>
      <c r="E45" s="32">
        <f>MatP10135C0Price</f>
        <v>35</v>
      </c>
      <c r="F45" s="33" t="str">
        <f>MatP10135C0PerText</f>
        <v>Roll</v>
      </c>
      <c r="G45" s="32">
        <f t="shared" si="0"/>
        <v>70</v>
      </c>
    </row>
    <row r="46" spans="1:7" x14ac:dyDescent="0.2">
      <c r="A46" s="24" t="str">
        <f>MatP9008C0Colour</f>
        <v>Not Specified</v>
      </c>
      <c r="B46" s="24" t="str">
        <f>IF(MatP9008C0Code=0,"",MatP9008C0Code)</f>
        <v/>
      </c>
      <c r="C46" s="24" t="str">
        <f>MatP9008C0Desc</f>
        <v>Battens (50mm x 25mm)</v>
      </c>
      <c r="D46" s="31">
        <v>189</v>
      </c>
      <c r="E46" s="32">
        <f>MatP9008C0Price</f>
        <v>0.9</v>
      </c>
      <c r="F46" s="33" t="str">
        <f>MatP9008C0PerText</f>
        <v>Metre</v>
      </c>
      <c r="G46" s="32">
        <f t="shared" si="0"/>
        <v>170.1</v>
      </c>
    </row>
    <row r="47" spans="1:7" x14ac:dyDescent="0.2">
      <c r="A47" s="24" t="str">
        <f>MatP8879C15Colour</f>
        <v>Not Specified</v>
      </c>
      <c r="B47" s="24" t="str">
        <f>IF(MatP8879C15Code=0,"",MatP8879C15Code)</f>
        <v/>
      </c>
      <c r="C47" s="24" t="str">
        <f>MatP8879C15Desc</f>
        <v>Universal Dry Ridge/Hip System (6m)</v>
      </c>
      <c r="D47" s="31">
        <v>2</v>
      </c>
      <c r="E47" s="32">
        <f>MatP8879C15Price</f>
        <v>28.09</v>
      </c>
      <c r="F47" s="33" t="str">
        <f>MatP8879C15PerText</f>
        <v>Pack</v>
      </c>
      <c r="G47" s="32">
        <f t="shared" si="0"/>
        <v>56.18</v>
      </c>
    </row>
    <row r="48" spans="1:7" x14ac:dyDescent="0.2">
      <c r="A48" s="24" t="str">
        <f>MatP8857C0Colour</f>
        <v>Not Specified</v>
      </c>
      <c r="B48" s="24" t="str">
        <f>IF(MatP8857C0Code=0,"",MatP8857C0Code)</f>
        <v/>
      </c>
      <c r="C48" s="24" t="str">
        <f>MatP8857C0Desc</f>
        <v>LH Uni-Fix Dry Verge Unit</v>
      </c>
      <c r="D48" s="31">
        <v>46</v>
      </c>
      <c r="E48" s="32">
        <f>MatP8857C0Price</f>
        <v>1.1000000000000001</v>
      </c>
      <c r="F48" s="33" t="str">
        <f>MatP8857C0PerText</f>
        <v>Each</v>
      </c>
      <c r="G48" s="32">
        <f t="shared" si="0"/>
        <v>50.6</v>
      </c>
    </row>
    <row r="49" spans="1:7" x14ac:dyDescent="0.2">
      <c r="A49" s="24" t="str">
        <f>MatP8869C0Colour</f>
        <v>Not Specified</v>
      </c>
      <c r="B49" s="24" t="str">
        <f>IF(MatP8869C0Code=0,"",MatP8869C0Code)</f>
        <v/>
      </c>
      <c r="C49" s="24" t="str">
        <f>MatP8869C0Desc</f>
        <v>RH Uni-Fix Dry Verge Unit</v>
      </c>
      <c r="D49" s="31">
        <v>46</v>
      </c>
      <c r="E49" s="32">
        <f>MatP8869C0Price</f>
        <v>1.1000000000000001</v>
      </c>
      <c r="F49" s="33" t="str">
        <f>MatP8869C0PerText</f>
        <v>Each</v>
      </c>
      <c r="G49" s="32">
        <f t="shared" si="0"/>
        <v>50.6</v>
      </c>
    </row>
    <row r="50" spans="1:7" x14ac:dyDescent="0.2">
      <c r="A50" s="24" t="str">
        <f>MatP8877C0Colour</f>
        <v>Not Specified</v>
      </c>
      <c r="B50" s="24" t="str">
        <f>IF(MatP8877C0Code=0,"",MatP8877C0Code)</f>
        <v/>
      </c>
      <c r="C50" s="24" t="str">
        <f>MatP8877C0Desc</f>
        <v>Uni-Fix Universal Ridge End Cap</v>
      </c>
      <c r="D50" s="31">
        <v>2</v>
      </c>
      <c r="E50" s="32">
        <f>MatP8877C0Price</f>
        <v>1.6</v>
      </c>
      <c r="F50" s="33" t="str">
        <f>MatP8877C0PerText</f>
        <v>Each</v>
      </c>
      <c r="G50" s="32">
        <f t="shared" si="0"/>
        <v>3.2</v>
      </c>
    </row>
    <row r="51" spans="1:7" x14ac:dyDescent="0.2">
      <c r="A51" s="24" t="str">
        <f>MatP8830C20Colour</f>
        <v>Not Specified</v>
      </c>
      <c r="B51" s="24" t="str">
        <f>IF(MatP8830C20Code=0,"",MatP8830C20Code)</f>
        <v/>
      </c>
      <c r="C51" s="24" t="str">
        <f>MatP8830C20Desc</f>
        <v>Dry Verge Starter Unit</v>
      </c>
      <c r="D51" s="31">
        <v>4</v>
      </c>
      <c r="E51" s="32">
        <f>MatP8830C20Price</f>
        <v>1.51</v>
      </c>
      <c r="F51" s="33" t="str">
        <f>MatP8830C20PerText</f>
        <v>Each</v>
      </c>
      <c r="G51" s="32">
        <f t="shared" si="0"/>
        <v>6.04</v>
      </c>
    </row>
    <row r="52" spans="1:7" x14ac:dyDescent="0.2">
      <c r="A52" s="24" t="str">
        <f>MatP8821C20Colour</f>
        <v>Not Specified</v>
      </c>
      <c r="B52" s="24" t="str">
        <f>IF(MatP8821C20Code=0,"",MatP8821C20Code)</f>
        <v/>
      </c>
      <c r="C52" s="24" t="str">
        <f>MatP8821C20Desc</f>
        <v>25mm Over Fascia Vent (1m)</v>
      </c>
      <c r="D52" s="31">
        <v>12</v>
      </c>
      <c r="E52" s="32">
        <f>MatP8821C20Price</f>
        <v>1.9</v>
      </c>
      <c r="F52" s="33" t="str">
        <f>MatP8821C20PerText</f>
        <v>Each</v>
      </c>
      <c r="G52" s="32">
        <f t="shared" si="0"/>
        <v>22.799999999999997</v>
      </c>
    </row>
    <row r="53" spans="1:7" x14ac:dyDescent="0.2">
      <c r="A53" s="24" t="str">
        <f>MatP8281C0Colour</f>
        <v>Not Specified</v>
      </c>
      <c r="B53" s="24" t="str">
        <f>IF(MatP8281C0Code=0,"",MatP8281C0Code)</f>
        <v/>
      </c>
      <c r="C53" s="24" t="str">
        <f>MatP8281C0Desc</f>
        <v>Generic Eave Insulation (1m)</v>
      </c>
      <c r="D53" s="31">
        <v>12</v>
      </c>
      <c r="E53" s="32">
        <f>MatP8281C0Price</f>
        <v>5</v>
      </c>
      <c r="F53" s="33" t="str">
        <f>MatP8281C0PerText</f>
        <v>Each</v>
      </c>
      <c r="G53" s="32">
        <f t="shared" si="0"/>
        <v>60</v>
      </c>
    </row>
    <row r="54" spans="1:7" x14ac:dyDescent="0.2">
      <c r="A54" s="24" t="str">
        <f>MatP8624C0Colour</f>
        <v>Not Specified</v>
      </c>
      <c r="B54" s="24" t="str">
        <f>IF(MatP8624C0Code=0,"",MatP8624C0Code)</f>
        <v/>
      </c>
      <c r="C54" s="24" t="str">
        <f>MatP8624C0Desc</f>
        <v>Generic Party Wall Insulation (1m)</v>
      </c>
      <c r="D54" s="31">
        <v>6</v>
      </c>
      <c r="E54" s="32">
        <f>MatP8624C0Price</f>
        <v>5</v>
      </c>
      <c r="F54" s="33" t="str">
        <f>MatP8624C0PerText</f>
        <v>Each</v>
      </c>
      <c r="G54" s="32">
        <f t="shared" si="0"/>
        <v>30</v>
      </c>
    </row>
    <row r="55" spans="1:7" x14ac:dyDescent="0.2">
      <c r="A55" s="24" t="str">
        <f>MatP8866C20Colour</f>
        <v>Not Specified</v>
      </c>
      <c r="B55" s="24" t="str">
        <f>IF(MatP8866C20Code=0,"",MatP8866C20Code)</f>
        <v/>
      </c>
      <c r="C55" s="24" t="str">
        <f>MatP8866C20Desc</f>
        <v>Rafter Roll (6m x 600mm)</v>
      </c>
      <c r="D55" s="31">
        <v>2</v>
      </c>
      <c r="E55" s="32">
        <f>MatP8866C20Price</f>
        <v>9.5</v>
      </c>
      <c r="F55" s="33" t="str">
        <f>MatP8866C20PerText</f>
        <v>Each</v>
      </c>
      <c r="G55" s="32">
        <f t="shared" si="0"/>
        <v>19</v>
      </c>
    </row>
    <row r="56" spans="1:7" x14ac:dyDescent="0.2">
      <c r="A56" s="24" t="str">
        <f>MatP8874C20Colour</f>
        <v>Not Specified</v>
      </c>
      <c r="B56" s="24" t="str">
        <f>IF(MatP8874C20Code=0,"",MatP8874C20Code)</f>
        <v/>
      </c>
      <c r="C56" s="24" t="str">
        <f>MatP8874C20Desc</f>
        <v>Underlay Support Tray (1.5m)</v>
      </c>
      <c r="D56" s="31">
        <v>8</v>
      </c>
      <c r="E56" s="32">
        <f>MatP8874C20Price</f>
        <v>1.5</v>
      </c>
      <c r="F56" s="33" t="str">
        <f>MatP8874C20PerText</f>
        <v>Each</v>
      </c>
      <c r="G56" s="32">
        <f t="shared" si="0"/>
        <v>12</v>
      </c>
    </row>
    <row r="57" spans="1:7" x14ac:dyDescent="0.2">
      <c r="A57" s="24" t="str">
        <f>MatP8838C92Colour</f>
        <v>Not Specified</v>
      </c>
      <c r="B57" s="24" t="str">
        <f>IF(MatP8838C92Code=0,"",MatP8838C92Code)</f>
        <v/>
      </c>
      <c r="C57" s="24" t="str">
        <f>MatP8838C92Desc</f>
        <v>GRP Dry Fix Valley Trough - Over Batten Fix (3m x 400mm x 70mm)</v>
      </c>
      <c r="D57" s="31">
        <v>2</v>
      </c>
      <c r="E57" s="32">
        <f>MatP8838C92Price</f>
        <v>32.5</v>
      </c>
      <c r="F57" s="33" t="str">
        <f>MatP8838C92PerText</f>
        <v>Each</v>
      </c>
      <c r="G57" s="32">
        <f t="shared" si="0"/>
        <v>65</v>
      </c>
    </row>
    <row r="58" spans="1:7" x14ac:dyDescent="0.2">
      <c r="A58" s="24" t="str">
        <f>MatP8872C539Colour</f>
        <v>Not Specified</v>
      </c>
      <c r="B58" s="24" t="str">
        <f>IF(MatP8872C539Code=0,"",MatP8872C539Code)</f>
        <v/>
      </c>
      <c r="C58" s="24" t="str">
        <f>MatP8872C539Desc</f>
        <v>Sidelock Tile Clips (TLE)</v>
      </c>
      <c r="D58" s="31">
        <v>170</v>
      </c>
      <c r="E58" s="32">
        <f>MatP8872C539Price</f>
        <v>7.0000000000000007E-2</v>
      </c>
      <c r="F58" s="33" t="str">
        <f>MatP8872C539PerText</f>
        <v>Each</v>
      </c>
      <c r="G58" s="32">
        <f t="shared" si="0"/>
        <v>11.9</v>
      </c>
    </row>
    <row r="59" spans="1:7" x14ac:dyDescent="0.2">
      <c r="A59" s="24" t="str">
        <f>MatP8826C539Colour</f>
        <v>Not Specified</v>
      </c>
      <c r="B59" s="24" t="str">
        <f>IF(MatP8826C539Code=0,"",MatP8826C539Code)</f>
        <v/>
      </c>
      <c r="C59" s="24" t="str">
        <f>MatP8826C539Desc</f>
        <v>Metal Batten End Clips</v>
      </c>
      <c r="D59" s="31">
        <v>46</v>
      </c>
      <c r="E59" s="32">
        <f>MatP8826C539Price</f>
        <v>0.28000000000000003</v>
      </c>
      <c r="F59" s="33" t="str">
        <f>MatP8826C539PerText</f>
        <v>Each</v>
      </c>
      <c r="G59" s="32">
        <f t="shared" si="0"/>
        <v>12.88</v>
      </c>
    </row>
    <row r="60" spans="1:7" x14ac:dyDescent="0.2">
      <c r="A60" s="24" t="str">
        <f>MatP8831C539Colour</f>
        <v>Not Specified</v>
      </c>
      <c r="B60" s="24" t="str">
        <f>IF(MatP8831C539Code=0,"",MatP8831C539Code)</f>
        <v/>
      </c>
      <c r="C60" s="24" t="str">
        <f>MatP8831C539Desc</f>
        <v>Eave Clip</v>
      </c>
      <c r="D60" s="31">
        <v>40</v>
      </c>
      <c r="E60" s="32">
        <f>MatP8831C539Price</f>
        <v>0.1</v>
      </c>
      <c r="F60" s="33" t="str">
        <f>MatP8831C539PerText</f>
        <v>Each</v>
      </c>
      <c r="G60" s="32">
        <f t="shared" si="0"/>
        <v>4</v>
      </c>
    </row>
    <row r="61" spans="1:7" x14ac:dyDescent="0.2">
      <c r="A61" s="24" t="str">
        <f>MatP9318C0Colour</f>
        <v>Not Specified</v>
      </c>
      <c r="B61" s="24" t="str">
        <f>IF(MatP9318C0Code=0,"",MatP9318C0Code)</f>
        <v/>
      </c>
      <c r="C61" s="24" t="str">
        <f>MatP9318C0Desc</f>
        <v>45mm x 3.35mm Aluminium Nails</v>
      </c>
      <c r="D61" s="31">
        <v>2.0000000596046448</v>
      </c>
      <c r="E61" s="32">
        <f>MatP9318C0Price</f>
        <v>7.28</v>
      </c>
      <c r="F61" s="33" t="str">
        <f>MatP9318C0PerText</f>
        <v>Kg</v>
      </c>
      <c r="G61" s="32">
        <f t="shared" si="0"/>
        <v>14.560000433921815</v>
      </c>
    </row>
    <row r="62" spans="1:7" x14ac:dyDescent="0.2">
      <c r="A62" s="24" t="str">
        <f>MatP9100C0Colour</f>
        <v>Not Specified</v>
      </c>
      <c r="B62" s="24" t="str">
        <f>IF(MatP9100C0Code=0,"",MatP9100C0Code)</f>
        <v/>
      </c>
      <c r="C62" s="24" t="str">
        <f>MatP9100C0Desc</f>
        <v>Batten Nails - 65mm x 3.35mm Galvanised</v>
      </c>
      <c r="D62" s="31">
        <v>2</v>
      </c>
      <c r="E62" s="32">
        <f>MatP9100C0Price</f>
        <v>4.5</v>
      </c>
      <c r="F62" s="33" t="str">
        <f>MatP9100C0PerText</f>
        <v>Kg</v>
      </c>
      <c r="G62" s="32">
        <f t="shared" si="0"/>
        <v>9</v>
      </c>
    </row>
    <row r="63" spans="1:7" x14ac:dyDescent="0.2">
      <c r="A63" s="24" t="str">
        <f>MatP9066C92Colour</f>
        <v>Not Specified</v>
      </c>
      <c r="B63" s="24" t="str">
        <f>IF(MatP9066C92Code=0,"",MatP9066C92Code)</f>
        <v/>
      </c>
      <c r="C63" s="24" t="str">
        <f>MatP9066C92Desc</f>
        <v>Lead Code 4 - 300mm (6m)</v>
      </c>
      <c r="D63" s="31">
        <v>9</v>
      </c>
      <c r="E63" s="32">
        <f>MatP9066C92Price</f>
        <v>15.21</v>
      </c>
      <c r="F63" s="33" t="str">
        <f>MatP9066C92PerText</f>
        <v>Metre</v>
      </c>
      <c r="G63" s="32">
        <f t="shared" si="0"/>
        <v>136.89000000000001</v>
      </c>
    </row>
    <row r="64" spans="1:7" x14ac:dyDescent="0.2">
      <c r="A64" s="24" t="str">
        <f>MatLeadValleySaddleColour</f>
        <v>Not Specified</v>
      </c>
      <c r="B64" s="24" t="str">
        <f>IF(MatLeadValleySaddleCode=0,"",MatLeadValleySaddleCode)</f>
        <v/>
      </c>
      <c r="C64" s="24" t="str">
        <f>MatLeadValleySaddleDesc</f>
        <v>Lead Valley Saddle</v>
      </c>
      <c r="D64" s="31">
        <v>1</v>
      </c>
      <c r="E64" s="32">
        <f>MatLeadValleySaddlePrice</f>
        <v>15</v>
      </c>
      <c r="F64" s="33" t="str">
        <f>MatLeadValleySaddlePerText</f>
        <v>Each</v>
      </c>
      <c r="G64" s="32">
        <f t="shared" si="0"/>
        <v>15</v>
      </c>
    </row>
    <row r="65" spans="1:7" x14ac:dyDescent="0.2">
      <c r="D65" s="31"/>
      <c r="E65" s="32"/>
      <c r="F65" s="33"/>
      <c r="G65" s="32"/>
    </row>
    <row r="66" spans="1:7" x14ac:dyDescent="0.2">
      <c r="F66" s="34" t="s">
        <v>5</v>
      </c>
      <c r="G66" s="35">
        <f>SUM(G43:G65)</f>
        <v>1514.0300004339219</v>
      </c>
    </row>
    <row r="67" spans="1:7" x14ac:dyDescent="0.2">
      <c r="G67" s="34"/>
    </row>
    <row r="68" spans="1:7" x14ac:dyDescent="0.2">
      <c r="A68" s="25" t="s">
        <v>15</v>
      </c>
      <c r="B68" s="25"/>
      <c r="D68" s="25"/>
      <c r="E68" s="25"/>
      <c r="F68" s="25"/>
      <c r="G68" s="25"/>
    </row>
    <row r="70" spans="1:7" x14ac:dyDescent="0.2">
      <c r="A70" s="102" t="s">
        <v>6</v>
      </c>
      <c r="B70" s="102"/>
      <c r="C70" s="102"/>
      <c r="D70" s="34" t="s">
        <v>7</v>
      </c>
      <c r="E70" s="34" t="s">
        <v>9</v>
      </c>
      <c r="F70" s="34" t="s">
        <v>8</v>
      </c>
      <c r="G70" s="34" t="s">
        <v>16</v>
      </c>
    </row>
    <row r="71" spans="1:7" x14ac:dyDescent="0.2">
      <c r="A71" s="103" t="str">
        <f>LabP8815R6L1G1Desc</f>
        <v>Main Area</v>
      </c>
      <c r="B71" s="103"/>
      <c r="C71" s="103"/>
      <c r="D71" s="36">
        <f>LabP8815R6L1G1Rate</f>
        <v>9</v>
      </c>
      <c r="E71" s="37">
        <f>'SOU-END-Main Roof'!Area</f>
        <v>51.59</v>
      </c>
      <c r="F71" s="27" t="str">
        <f xml:space="preserve"> "" &amp; LabP8815R6L1G1Per</f>
        <v>m²</v>
      </c>
      <c r="G71" s="36">
        <f t="shared" ref="G71:G82" si="1">D71 * E71</f>
        <v>464.31000000000006</v>
      </c>
    </row>
    <row r="72" spans="1:7" x14ac:dyDescent="0.2">
      <c r="A72" s="24" t="str">
        <f>LabP8815R0L1G2Desc</f>
        <v>Eave</v>
      </c>
      <c r="D72" s="36">
        <f>LabP8815R0L1G2Rate</f>
        <v>2.5</v>
      </c>
      <c r="E72" s="37">
        <f>'SOU-END-Main Roof'!Eave</f>
        <v>11.8</v>
      </c>
      <c r="F72" s="27" t="str">
        <f xml:space="preserve"> "" &amp; LabP8815R0L1G2Per</f>
        <v>m</v>
      </c>
      <c r="G72" s="36">
        <f t="shared" si="1"/>
        <v>29.5</v>
      </c>
    </row>
    <row r="73" spans="1:7" x14ac:dyDescent="0.2">
      <c r="A73" s="24" t="str">
        <f>LabP8815R0L1G3Desc</f>
        <v>Verge</v>
      </c>
      <c r="D73" s="36">
        <f>LabP8815R0L1G3Rate</f>
        <v>2.5</v>
      </c>
      <c r="E73" s="37">
        <f>LeftVerge+RightVerge</f>
        <v>14.66</v>
      </c>
      <c r="F73" s="27" t="str">
        <f xml:space="preserve"> "" &amp; LabP8815R0L1G3Per</f>
        <v>m</v>
      </c>
      <c r="G73" s="36">
        <f t="shared" si="1"/>
        <v>36.65</v>
      </c>
    </row>
    <row r="74" spans="1:7" x14ac:dyDescent="0.2">
      <c r="A74" s="24" t="str">
        <f>LabP8815R15L1G7Desc</f>
        <v>Valley</v>
      </c>
      <c r="D74" s="36">
        <f>LabP8815R15L1G7Rate</f>
        <v>15</v>
      </c>
      <c r="E74" s="37">
        <f>'SOU-END-Main Roof'!Valley</f>
        <v>3.84</v>
      </c>
      <c r="F74" s="27" t="str">
        <f xml:space="preserve"> "" &amp; LabP8815R15L1G7Per</f>
        <v>m</v>
      </c>
      <c r="G74" s="36">
        <f t="shared" si="1"/>
        <v>57.599999999999994</v>
      </c>
    </row>
    <row r="75" spans="1:7" x14ac:dyDescent="0.2">
      <c r="A75" s="24" t="str">
        <f>LabP8815R0L1G8Desc</f>
        <v>Duo Ridge</v>
      </c>
      <c r="D75" s="36">
        <f>LabP8815R0L1G8Rate</f>
        <v>2.5</v>
      </c>
      <c r="E75" s="37">
        <f>'SOU-END-Main Roof'!DuoRidge</f>
        <v>7.2</v>
      </c>
      <c r="F75" s="27" t="str">
        <f xml:space="preserve"> "" &amp; LabP8815R0L1G8Per</f>
        <v>m</v>
      </c>
      <c r="G75" s="36">
        <f t="shared" si="1"/>
        <v>18</v>
      </c>
    </row>
    <row r="76" spans="1:7" x14ac:dyDescent="0.2">
      <c r="A76" s="24" t="str">
        <f>LabP8815R0L1G10Desc</f>
        <v>Abut Courses</v>
      </c>
      <c r="D76" s="36">
        <f>LabP8815R0L1G10Rate</f>
        <v>5</v>
      </c>
      <c r="E76" s="37">
        <f>'SOU-END-Main Roof'!AbutCourses</f>
        <v>4.28</v>
      </c>
      <c r="F76" s="27" t="str">
        <f xml:space="preserve"> "" &amp; LabP8815R0L1G10Per</f>
        <v>m</v>
      </c>
      <c r="G76" s="36">
        <f t="shared" si="1"/>
        <v>21.400000000000002</v>
      </c>
    </row>
    <row r="77" spans="1:7" x14ac:dyDescent="0.2">
      <c r="A77" s="24" t="str">
        <f>LabP8815R0L1G241Desc</f>
        <v>Party Wall Insulation</v>
      </c>
      <c r="D77" s="36">
        <f>LabP8815R0L1G241Rate</f>
        <v>1.5</v>
      </c>
      <c r="E77" s="37">
        <v>5.92</v>
      </c>
      <c r="F77" s="27" t="str">
        <f xml:space="preserve"> "" &amp; LabP8815R0L1G241Per</f>
        <v>m</v>
      </c>
      <c r="G77" s="36">
        <f t="shared" si="1"/>
        <v>8.879999999999999</v>
      </c>
    </row>
    <row r="78" spans="1:7" x14ac:dyDescent="0.2">
      <c r="A78" s="24" t="str">
        <f>LabP8815R15L1G243Desc</f>
        <v>Apron Flashing (Code 4)</v>
      </c>
      <c r="D78" s="36">
        <f>LabP8815R15L1G243Rate</f>
        <v>15</v>
      </c>
      <c r="E78" s="37">
        <v>1.8</v>
      </c>
      <c r="F78" s="27" t="str">
        <f xml:space="preserve"> "" &amp; LabP8815R15L1G243Per</f>
        <v>m</v>
      </c>
      <c r="G78" s="36">
        <f t="shared" si="1"/>
        <v>27</v>
      </c>
    </row>
    <row r="79" spans="1:7" x14ac:dyDescent="0.2">
      <c r="A79" s="24" t="str">
        <f>LabP8815R15L1G274Desc</f>
        <v>Step and Cover Flashing (Code 4)</v>
      </c>
      <c r="D79" s="36">
        <f>LabP8815R15L1G274Rate</f>
        <v>15</v>
      </c>
      <c r="E79" s="37">
        <v>4.28</v>
      </c>
      <c r="F79" s="27" t="str">
        <f xml:space="preserve"> "" &amp; LabP8815R15L1G274Per</f>
        <v>m</v>
      </c>
      <c r="G79" s="36">
        <f t="shared" si="1"/>
        <v>64.2</v>
      </c>
    </row>
    <row r="80" spans="1:7" x14ac:dyDescent="0.2">
      <c r="A80" s="24" t="str">
        <f>LabP8815R0LabCuttingandDressingtoGRPDormersDesc</f>
        <v>Cutting and Dressing to GRP Dormers</v>
      </c>
      <c r="D80" s="36">
        <f>LabP8815R0LabCuttingandDressingtoGRPDormersRate</f>
        <v>35</v>
      </c>
      <c r="E80" s="37">
        <v>1</v>
      </c>
      <c r="F80" s="27" t="str">
        <f xml:space="preserve"> "" &amp; LabP8815R0LabCuttingandDressingtoGRPDormersPer</f>
        <v/>
      </c>
      <c r="G80" s="36">
        <f t="shared" si="1"/>
        <v>35</v>
      </c>
    </row>
    <row r="81" spans="1:7" x14ac:dyDescent="0.2">
      <c r="A81" s="24" t="str">
        <f>LabP8815R30LabLabourforCuttingtoVeluxDesc</f>
        <v>Labour for Cutting to Velux</v>
      </c>
      <c r="D81" s="36">
        <f>LabP8815R30LabLabourforCuttingtoVeluxRate</f>
        <v>30</v>
      </c>
      <c r="E81" s="37">
        <v>1</v>
      </c>
      <c r="F81" s="27" t="str">
        <f xml:space="preserve"> "" &amp; LabP8815R30LabLabourforCuttingtoVeluxPer</f>
        <v/>
      </c>
      <c r="G81" s="36">
        <f t="shared" si="1"/>
        <v>30</v>
      </c>
    </row>
    <row r="82" spans="1:7" x14ac:dyDescent="0.2">
      <c r="A82" s="24" t="str">
        <f>LabP8815R30LabLabourforCuttingtoSolarPanelsDesc</f>
        <v>Labour for Cutting to Solar Panels</v>
      </c>
      <c r="D82" s="36">
        <f>LabP8815R30LabLabourforCuttingtoSolarPanelsRate</f>
        <v>30</v>
      </c>
      <c r="E82" s="37">
        <v>2</v>
      </c>
      <c r="F82" s="27" t="str">
        <f xml:space="preserve"> "" &amp; LabP8815R30LabLabourforCuttingtoSolarPanelsPer</f>
        <v/>
      </c>
      <c r="G82" s="36">
        <f t="shared" si="1"/>
        <v>60</v>
      </c>
    </row>
    <row r="83" spans="1:7" x14ac:dyDescent="0.2">
      <c r="D83" s="36"/>
      <c r="E83" s="37"/>
      <c r="F83" s="27"/>
      <c r="G83" s="36"/>
    </row>
    <row r="84" spans="1:7" x14ac:dyDescent="0.2">
      <c r="A84" s="103"/>
      <c r="B84" s="103"/>
      <c r="C84" s="103"/>
      <c r="D84" s="36"/>
      <c r="E84" s="37"/>
      <c r="G84" s="36"/>
    </row>
    <row r="85" spans="1:7" x14ac:dyDescent="0.2">
      <c r="F85" s="34" t="s">
        <v>5</v>
      </c>
      <c r="G85" s="35">
        <f>SUM(G71:G84)</f>
        <v>852.54000000000008</v>
      </c>
    </row>
    <row r="89" spans="1:7" x14ac:dyDescent="0.2">
      <c r="A89" s="34"/>
      <c r="B89" s="38"/>
    </row>
    <row r="91" spans="1:7" x14ac:dyDescent="0.2">
      <c r="A91" s="34"/>
      <c r="B91" s="38"/>
    </row>
    <row r="93" spans="1:7" x14ac:dyDescent="0.2">
      <c r="A93" s="34"/>
      <c r="B93" s="38"/>
    </row>
    <row r="95" spans="1:7" x14ac:dyDescent="0.2">
      <c r="A95" s="34"/>
      <c r="B95" s="38"/>
    </row>
    <row r="98" spans="1:3" x14ac:dyDescent="0.2">
      <c r="A98" s="34"/>
      <c r="B98" s="38"/>
      <c r="C98" s="39"/>
    </row>
    <row r="100" spans="1:3" x14ac:dyDescent="0.2">
      <c r="A100" s="34"/>
      <c r="B100" s="38"/>
    </row>
    <row r="102" spans="1:3" x14ac:dyDescent="0.2">
      <c r="A102" s="34"/>
      <c r="B102" s="38"/>
      <c r="C102" s="39"/>
    </row>
    <row r="104" spans="1:3" x14ac:dyDescent="0.2">
      <c r="A104" s="34"/>
      <c r="B104" s="38"/>
    </row>
    <row r="106" spans="1:3" x14ac:dyDescent="0.2">
      <c r="A106" s="34"/>
      <c r="B106" s="38"/>
    </row>
    <row r="109" spans="1:3" x14ac:dyDescent="0.2">
      <c r="A109" s="34"/>
      <c r="B109" s="38"/>
    </row>
    <row r="111" spans="1:3" x14ac:dyDescent="0.2">
      <c r="A111" s="34"/>
      <c r="B111" s="38"/>
    </row>
    <row r="113" spans="1:3" x14ac:dyDescent="0.2">
      <c r="A113" s="34"/>
      <c r="B113" s="38"/>
      <c r="C113" s="39"/>
    </row>
    <row r="116" spans="1:3" x14ac:dyDescent="0.2">
      <c r="A116" s="34"/>
      <c r="B116" s="40"/>
      <c r="C116" s="23"/>
    </row>
    <row r="119" spans="1:3" x14ac:dyDescent="0.2">
      <c r="A119" s="39"/>
      <c r="B119" s="41"/>
    </row>
  </sheetData>
  <mergeCells count="5">
    <mergeCell ref="B4:F4"/>
    <mergeCell ref="B5:F5"/>
    <mergeCell ref="A70:C70"/>
    <mergeCell ref="A71:C71"/>
    <mergeCell ref="A84:C84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4EE1B-3616-4D0D-9366-553A5A4494A6}">
  <dimension ref="A1:G97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209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145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3.11</v>
      </c>
      <c r="C9" s="23"/>
      <c r="D9" s="26"/>
    </row>
    <row r="10" spans="1:7" x14ac:dyDescent="0.2">
      <c r="A10" s="23" t="s">
        <v>114</v>
      </c>
      <c r="B10" s="24">
        <v>1.7</v>
      </c>
      <c r="C10" s="23"/>
      <c r="D10" s="26"/>
    </row>
    <row r="11" spans="1:7" x14ac:dyDescent="0.2">
      <c r="A11" s="23" t="s">
        <v>141</v>
      </c>
      <c r="B11" s="24">
        <v>1.7</v>
      </c>
      <c r="C11" s="23"/>
      <c r="D11" s="26"/>
    </row>
    <row r="12" spans="1:7" x14ac:dyDescent="0.2">
      <c r="A12" s="23" t="s">
        <v>115</v>
      </c>
      <c r="B12" s="24">
        <v>1.83</v>
      </c>
      <c r="C12" s="23"/>
      <c r="D12" s="26"/>
    </row>
    <row r="13" spans="1:7" x14ac:dyDescent="0.2">
      <c r="A13" s="23" t="s">
        <v>116</v>
      </c>
      <c r="B13" s="24">
        <v>1.83</v>
      </c>
      <c r="C13" s="23"/>
      <c r="D13" s="26"/>
    </row>
    <row r="14" spans="1:7" x14ac:dyDescent="0.2">
      <c r="A14" s="23" t="s">
        <v>119</v>
      </c>
      <c r="B14" s="24">
        <v>600</v>
      </c>
      <c r="C14" s="23"/>
      <c r="D14" s="26"/>
    </row>
    <row r="15" spans="1:7" x14ac:dyDescent="0.2">
      <c r="A15" s="23" t="s">
        <v>120</v>
      </c>
      <c r="B15" s="24">
        <v>29</v>
      </c>
      <c r="C15" s="23"/>
      <c r="D15" s="26"/>
    </row>
    <row r="16" spans="1:7" x14ac:dyDescent="0.2">
      <c r="A16" s="23"/>
      <c r="C16" s="23"/>
      <c r="D16" s="26"/>
    </row>
    <row r="17" spans="1:7" x14ac:dyDescent="0.2">
      <c r="A17" s="23"/>
      <c r="B17" s="27"/>
      <c r="C17" s="23"/>
      <c r="D17" s="26"/>
    </row>
    <row r="18" spans="1:7" x14ac:dyDescent="0.2">
      <c r="A18" s="28" t="s">
        <v>10</v>
      </c>
      <c r="B18" s="28"/>
      <c r="C18" s="28"/>
      <c r="D18" s="28"/>
      <c r="E18" s="28"/>
      <c r="F18" s="28"/>
      <c r="G18" s="28"/>
    </row>
    <row r="19" spans="1:7" x14ac:dyDescent="0.2">
      <c r="A19" s="28"/>
      <c r="B19" s="28"/>
      <c r="C19" s="28"/>
      <c r="D19" s="28"/>
      <c r="E19" s="28"/>
      <c r="F19" s="28"/>
      <c r="G19" s="28"/>
    </row>
    <row r="20" spans="1:7" x14ac:dyDescent="0.2">
      <c r="A20" s="29" t="s">
        <v>121</v>
      </c>
      <c r="B20" s="24" t="s">
        <v>122</v>
      </c>
      <c r="C20" s="29"/>
      <c r="D20" s="29"/>
      <c r="E20" s="29"/>
      <c r="F20" s="29"/>
    </row>
    <row r="21" spans="1:7" x14ac:dyDescent="0.2">
      <c r="A21" s="29" t="s">
        <v>123</v>
      </c>
      <c r="B21" s="24" t="s">
        <v>124</v>
      </c>
      <c r="C21" s="29"/>
      <c r="D21" s="29"/>
      <c r="E21" s="29"/>
      <c r="F21" s="29"/>
    </row>
    <row r="22" spans="1:7" x14ac:dyDescent="0.2">
      <c r="A22" s="29"/>
      <c r="B22" s="24" t="s">
        <v>125</v>
      </c>
      <c r="C22" s="29"/>
      <c r="D22" s="29"/>
      <c r="E22" s="29"/>
      <c r="F22" s="29"/>
    </row>
    <row r="23" spans="1:7" x14ac:dyDescent="0.2">
      <c r="A23" s="29" t="s">
        <v>126</v>
      </c>
      <c r="B23" s="24" t="s">
        <v>127</v>
      </c>
      <c r="C23" s="29"/>
      <c r="D23" s="29"/>
      <c r="E23" s="29"/>
      <c r="F23" s="29"/>
    </row>
    <row r="24" spans="1:7" x14ac:dyDescent="0.2">
      <c r="A24" s="29"/>
      <c r="B24" s="24" t="s">
        <v>142</v>
      </c>
      <c r="C24" s="29"/>
      <c r="D24" s="29"/>
      <c r="E24" s="29"/>
      <c r="F24" s="29"/>
    </row>
    <row r="25" spans="1:7" x14ac:dyDescent="0.2">
      <c r="A25" s="29" t="s">
        <v>129</v>
      </c>
      <c r="B25" s="24" t="s">
        <v>130</v>
      </c>
      <c r="C25" s="29"/>
      <c r="D25" s="29"/>
      <c r="E25" s="29"/>
      <c r="F25" s="29"/>
    </row>
    <row r="26" spans="1:7" x14ac:dyDescent="0.2">
      <c r="A26" s="29" t="s">
        <v>134</v>
      </c>
      <c r="B26" s="24" t="s">
        <v>135</v>
      </c>
      <c r="C26" s="29"/>
      <c r="D26" s="29"/>
      <c r="E26" s="29"/>
      <c r="F26" s="29"/>
    </row>
    <row r="27" spans="1:7" x14ac:dyDescent="0.2">
      <c r="A27" s="29" t="s">
        <v>136</v>
      </c>
      <c r="B27" s="24" t="s">
        <v>137</v>
      </c>
      <c r="C27" s="29"/>
      <c r="D27" s="29"/>
      <c r="E27" s="29"/>
      <c r="F27" s="29"/>
    </row>
    <row r="28" spans="1:7" x14ac:dyDescent="0.2">
      <c r="A28" s="29" t="s">
        <v>143</v>
      </c>
      <c r="B28" s="24" t="s">
        <v>144</v>
      </c>
      <c r="C28" s="29"/>
      <c r="D28" s="29"/>
      <c r="E28" s="29"/>
      <c r="F28" s="29"/>
    </row>
    <row r="29" spans="1:7" x14ac:dyDescent="0.2">
      <c r="A29" s="29"/>
      <c r="C29" s="29"/>
      <c r="D29" s="29"/>
      <c r="E29" s="29"/>
      <c r="F29" s="29"/>
    </row>
    <row r="30" spans="1:7" x14ac:dyDescent="0.2">
      <c r="A30" s="29"/>
      <c r="C30" s="29"/>
      <c r="D30" s="29"/>
      <c r="E30" s="29"/>
      <c r="F30" s="29"/>
    </row>
    <row r="31" spans="1:7" x14ac:dyDescent="0.2">
      <c r="A31" s="25" t="s">
        <v>14</v>
      </c>
      <c r="B31" s="25"/>
      <c r="C31" s="25"/>
      <c r="D31" s="25"/>
      <c r="E31" s="25"/>
      <c r="F31" s="25"/>
      <c r="G31" s="25"/>
    </row>
    <row r="33" spans="1:7" s="29" customFormat="1" x14ac:dyDescent="0.2">
      <c r="A33" s="29" t="s">
        <v>25</v>
      </c>
      <c r="B33" s="29" t="s">
        <v>38</v>
      </c>
      <c r="C33" s="29" t="s">
        <v>2</v>
      </c>
      <c r="D33" s="30" t="s">
        <v>9</v>
      </c>
      <c r="E33" s="30" t="s">
        <v>3</v>
      </c>
      <c r="F33" s="30" t="s">
        <v>4</v>
      </c>
      <c r="G33" s="30" t="s">
        <v>16</v>
      </c>
    </row>
    <row r="34" spans="1:7" x14ac:dyDescent="0.2">
      <c r="A34" s="24" t="str">
        <f>MatP8815C0Colour</f>
        <v>Not Specified</v>
      </c>
      <c r="B34" s="24" t="str">
        <f>IF(MatP8815C0Code=0,"",MatP8815C0Code)</f>
        <v/>
      </c>
      <c r="C34" s="24" t="str">
        <f>MatP8815C0Desc</f>
        <v>TLE Tile</v>
      </c>
      <c r="D34" s="31">
        <v>37</v>
      </c>
      <c r="E34" s="32">
        <f>MatP8815C0Price</f>
        <v>1.2</v>
      </c>
      <c r="F34" s="33" t="str">
        <f>MatP8815C0PerText</f>
        <v>Each</v>
      </c>
      <c r="G34" s="32">
        <f t="shared" ref="G34:G49" si="0">D34 * E34</f>
        <v>44.4</v>
      </c>
    </row>
    <row r="35" spans="1:7" x14ac:dyDescent="0.2">
      <c r="A35" s="24" t="str">
        <f>MatP10135C0Colour</f>
        <v>Not Specified</v>
      </c>
      <c r="B35" s="24" t="str">
        <f>IF(MatP10135C0Code=0,"",MatP10135C0Code)</f>
        <v/>
      </c>
      <c r="C35" s="24" t="str">
        <f>MatP10135C0Desc</f>
        <v>VP300 Vapour Permeable Underlay (50m x 1m)</v>
      </c>
      <c r="D35" s="31">
        <v>0.25</v>
      </c>
      <c r="E35" s="32">
        <f>MatP10135C0Price</f>
        <v>35</v>
      </c>
      <c r="F35" s="33" t="str">
        <f>MatP10135C0PerText</f>
        <v>Roll</v>
      </c>
      <c r="G35" s="32">
        <f t="shared" si="0"/>
        <v>8.75</v>
      </c>
    </row>
    <row r="36" spans="1:7" x14ac:dyDescent="0.2">
      <c r="A36" s="24" t="str">
        <f>MatP9008C0Colour</f>
        <v>Not Specified</v>
      </c>
      <c r="B36" s="24" t="str">
        <f>IF(MatP9008C0Code=0,"",MatP9008C0Code)</f>
        <v/>
      </c>
      <c r="C36" s="24" t="str">
        <f>MatP9008C0Desc</f>
        <v>Battens (50mm x 25mm)</v>
      </c>
      <c r="D36" s="31">
        <v>11</v>
      </c>
      <c r="E36" s="32">
        <f>MatP9008C0Price</f>
        <v>0.9</v>
      </c>
      <c r="F36" s="33" t="str">
        <f>MatP9008C0PerText</f>
        <v>Metre</v>
      </c>
      <c r="G36" s="32">
        <f t="shared" si="0"/>
        <v>9.9</v>
      </c>
    </row>
    <row r="37" spans="1:7" x14ac:dyDescent="0.2">
      <c r="A37" s="24" t="str">
        <f>MatP8857C0Colour</f>
        <v>Not Specified</v>
      </c>
      <c r="B37" s="24" t="str">
        <f>IF(MatP8857C0Code=0,"",MatP8857C0Code)</f>
        <v/>
      </c>
      <c r="C37" s="24" t="str">
        <f>MatP8857C0Desc</f>
        <v>LH Uni-Fix Dry Verge Unit</v>
      </c>
      <c r="D37" s="31">
        <v>12</v>
      </c>
      <c r="E37" s="32">
        <f>MatP8857C0Price</f>
        <v>1.1000000000000001</v>
      </c>
      <c r="F37" s="33" t="str">
        <f>MatP8857C0PerText</f>
        <v>Each</v>
      </c>
      <c r="G37" s="32">
        <f t="shared" si="0"/>
        <v>13.200000000000001</v>
      </c>
    </row>
    <row r="38" spans="1:7" x14ac:dyDescent="0.2">
      <c r="A38" s="24" t="str">
        <f>MatP8869C0Colour</f>
        <v>Not Specified</v>
      </c>
      <c r="B38" s="24" t="str">
        <f>IF(MatP8869C0Code=0,"",MatP8869C0Code)</f>
        <v/>
      </c>
      <c r="C38" s="24" t="str">
        <f>MatP8869C0Desc</f>
        <v>RH Uni-Fix Dry Verge Unit</v>
      </c>
      <c r="D38" s="31">
        <v>12</v>
      </c>
      <c r="E38" s="32">
        <f>MatP8869C0Price</f>
        <v>1.1000000000000001</v>
      </c>
      <c r="F38" s="33" t="str">
        <f>MatP8869C0PerText</f>
        <v>Each</v>
      </c>
      <c r="G38" s="32">
        <f t="shared" si="0"/>
        <v>13.200000000000001</v>
      </c>
    </row>
    <row r="39" spans="1:7" x14ac:dyDescent="0.2">
      <c r="A39" s="24" t="str">
        <f>MatP8830C20Colour</f>
        <v>Not Specified</v>
      </c>
      <c r="B39" s="24" t="str">
        <f>IF(MatP8830C20Code=0,"",MatP8830C20Code)</f>
        <v/>
      </c>
      <c r="C39" s="24" t="str">
        <f>MatP8830C20Desc</f>
        <v>Dry Verge Starter Unit</v>
      </c>
      <c r="D39" s="31">
        <v>2</v>
      </c>
      <c r="E39" s="32">
        <f>MatP8830C20Price</f>
        <v>1.51</v>
      </c>
      <c r="F39" s="33" t="str">
        <f>MatP8830C20PerText</f>
        <v>Each</v>
      </c>
      <c r="G39" s="32">
        <f t="shared" si="0"/>
        <v>3.02</v>
      </c>
    </row>
    <row r="40" spans="1:7" x14ac:dyDescent="0.2">
      <c r="A40" s="24" t="str">
        <f>MatP8821C20Colour</f>
        <v>Not Specified</v>
      </c>
      <c r="B40" s="24" t="str">
        <f>IF(MatP8821C20Code=0,"",MatP8821C20Code)</f>
        <v/>
      </c>
      <c r="C40" s="24" t="str">
        <f>MatP8821C20Desc</f>
        <v>25mm Over Fascia Vent (1m)</v>
      </c>
      <c r="D40" s="31">
        <v>2</v>
      </c>
      <c r="E40" s="32">
        <f>MatP8821C20Price</f>
        <v>1.9</v>
      </c>
      <c r="F40" s="33" t="str">
        <f>MatP8821C20PerText</f>
        <v>Each</v>
      </c>
      <c r="G40" s="32">
        <f t="shared" si="0"/>
        <v>3.8</v>
      </c>
    </row>
    <row r="41" spans="1:7" x14ac:dyDescent="0.2">
      <c r="A41" s="24" t="str">
        <f>MatP8281C0Colour</f>
        <v>Not Specified</v>
      </c>
      <c r="B41" s="24" t="str">
        <f>IF(MatP8281C0Code=0,"",MatP8281C0Code)</f>
        <v/>
      </c>
      <c r="C41" s="24" t="str">
        <f>MatP8281C0Desc</f>
        <v>Generic Eave Insulation (1m)</v>
      </c>
      <c r="D41" s="31">
        <v>2</v>
      </c>
      <c r="E41" s="32">
        <f>MatP8281C0Price</f>
        <v>5</v>
      </c>
      <c r="F41" s="33" t="str">
        <f>MatP8281C0PerText</f>
        <v>Each</v>
      </c>
      <c r="G41" s="32">
        <f t="shared" si="0"/>
        <v>10</v>
      </c>
    </row>
    <row r="42" spans="1:7" x14ac:dyDescent="0.2">
      <c r="A42" s="24" t="str">
        <f>MatP8866C20Colour</f>
        <v>Not Specified</v>
      </c>
      <c r="B42" s="24" t="str">
        <f>IF(MatP8866C20Code=0,"",MatP8866C20Code)</f>
        <v/>
      </c>
      <c r="C42" s="24" t="str">
        <f>MatP8866C20Desc</f>
        <v>Rafter Roll (6m x 600mm)</v>
      </c>
      <c r="D42" s="31">
        <v>1</v>
      </c>
      <c r="E42" s="32">
        <f>MatP8866C20Price</f>
        <v>9.5</v>
      </c>
      <c r="F42" s="33" t="str">
        <f>MatP8866C20PerText</f>
        <v>Each</v>
      </c>
      <c r="G42" s="32">
        <f t="shared" si="0"/>
        <v>9.5</v>
      </c>
    </row>
    <row r="43" spans="1:7" x14ac:dyDescent="0.2">
      <c r="A43" s="24" t="str">
        <f>MatP8874C20Colour</f>
        <v>Not Specified</v>
      </c>
      <c r="B43" s="24" t="str">
        <f>IF(MatP8874C20Code=0,"",MatP8874C20Code)</f>
        <v/>
      </c>
      <c r="C43" s="24" t="str">
        <f>MatP8874C20Desc</f>
        <v>Underlay Support Tray (1.5m)</v>
      </c>
      <c r="D43" s="31">
        <v>2</v>
      </c>
      <c r="E43" s="32">
        <f>MatP8874C20Price</f>
        <v>1.5</v>
      </c>
      <c r="F43" s="33" t="str">
        <f>MatP8874C20PerText</f>
        <v>Each</v>
      </c>
      <c r="G43" s="32">
        <f t="shared" si="0"/>
        <v>3</v>
      </c>
    </row>
    <row r="44" spans="1:7" x14ac:dyDescent="0.2">
      <c r="A44" s="24" t="str">
        <f>MatP8872C539Colour</f>
        <v>Not Specified</v>
      </c>
      <c r="B44" s="24" t="str">
        <f>IF(MatP8872C539Code=0,"",MatP8872C539Code)</f>
        <v/>
      </c>
      <c r="C44" s="24" t="str">
        <f>MatP8872C539Desc</f>
        <v>Sidelock Tile Clips (TLE)</v>
      </c>
      <c r="D44" s="31">
        <v>6</v>
      </c>
      <c r="E44" s="32">
        <f>MatP8872C539Price</f>
        <v>7.0000000000000007E-2</v>
      </c>
      <c r="F44" s="33" t="str">
        <f>MatP8872C539PerText</f>
        <v>Each</v>
      </c>
      <c r="G44" s="32">
        <f t="shared" si="0"/>
        <v>0.42000000000000004</v>
      </c>
    </row>
    <row r="45" spans="1:7" x14ac:dyDescent="0.2">
      <c r="A45" s="24" t="str">
        <f>MatP8826C539Colour</f>
        <v>Not Specified</v>
      </c>
      <c r="B45" s="24" t="str">
        <f>IF(MatP8826C539Code=0,"",MatP8826C539Code)</f>
        <v/>
      </c>
      <c r="C45" s="24" t="str">
        <f>MatP8826C539Desc</f>
        <v>Metal Batten End Clips</v>
      </c>
      <c r="D45" s="31">
        <v>12</v>
      </c>
      <c r="E45" s="32">
        <f>MatP8826C539Price</f>
        <v>0.28000000000000003</v>
      </c>
      <c r="F45" s="33" t="str">
        <f>MatP8826C539PerText</f>
        <v>Each</v>
      </c>
      <c r="G45" s="32">
        <f t="shared" si="0"/>
        <v>3.3600000000000003</v>
      </c>
    </row>
    <row r="46" spans="1:7" x14ac:dyDescent="0.2">
      <c r="A46" s="24" t="str">
        <f>MatP8831C539Colour</f>
        <v>Not Specified</v>
      </c>
      <c r="B46" s="24" t="str">
        <f>IF(MatP8831C539Code=0,"",MatP8831C539Code)</f>
        <v/>
      </c>
      <c r="C46" s="24" t="str">
        <f>MatP8831C539Desc</f>
        <v>Eave Clip</v>
      </c>
      <c r="D46" s="31">
        <v>6</v>
      </c>
      <c r="E46" s="32">
        <f>MatP8831C539Price</f>
        <v>0.1</v>
      </c>
      <c r="F46" s="33" t="str">
        <f>MatP8831C539PerText</f>
        <v>Each</v>
      </c>
      <c r="G46" s="32">
        <f t="shared" si="0"/>
        <v>0.60000000000000009</v>
      </c>
    </row>
    <row r="47" spans="1:7" x14ac:dyDescent="0.2">
      <c r="A47" s="24" t="str">
        <f>MatP9318C0Colour</f>
        <v>Not Specified</v>
      </c>
      <c r="B47" s="24" t="str">
        <f>IF(MatP9318C0Code=0,"",MatP9318C0Code)</f>
        <v/>
      </c>
      <c r="C47" s="24" t="str">
        <f>MatP9318C0Desc</f>
        <v>45mm x 3.35mm Aluminium Nails</v>
      </c>
      <c r="D47" s="31">
        <v>1.0000000298023224</v>
      </c>
      <c r="E47" s="32">
        <f>MatP9318C0Price</f>
        <v>7.28</v>
      </c>
      <c r="F47" s="33" t="str">
        <f>MatP9318C0PerText</f>
        <v>Kg</v>
      </c>
      <c r="G47" s="32">
        <f t="shared" si="0"/>
        <v>7.2800002169609073</v>
      </c>
    </row>
    <row r="48" spans="1:7" x14ac:dyDescent="0.2">
      <c r="A48" s="24" t="str">
        <f>MatP9100C0Colour</f>
        <v>Not Specified</v>
      </c>
      <c r="B48" s="24" t="str">
        <f>IF(MatP9100C0Code=0,"",MatP9100C0Code)</f>
        <v/>
      </c>
      <c r="C48" s="24" t="str">
        <f>MatP9100C0Desc</f>
        <v>Batten Nails - 65mm x 3.35mm Galvanised</v>
      </c>
      <c r="D48" s="31">
        <v>1</v>
      </c>
      <c r="E48" s="32">
        <f>MatP9100C0Price</f>
        <v>4.5</v>
      </c>
      <c r="F48" s="33" t="str">
        <f>MatP9100C0PerText</f>
        <v>Kg</v>
      </c>
      <c r="G48" s="32">
        <f t="shared" si="0"/>
        <v>4.5</v>
      </c>
    </row>
    <row r="49" spans="1:7" x14ac:dyDescent="0.2">
      <c r="A49" s="24" t="str">
        <f>MatP9066C92Colour</f>
        <v>Not Specified</v>
      </c>
      <c r="B49" s="24" t="str">
        <f>IF(MatP9066C92Code=0,"",MatP9066C92Code)</f>
        <v/>
      </c>
      <c r="C49" s="24" t="str">
        <f>MatP9066C92Desc</f>
        <v>Lead Code 4 - 300mm (6m)</v>
      </c>
      <c r="D49" s="31">
        <v>3</v>
      </c>
      <c r="E49" s="32">
        <f>MatP9066C92Price</f>
        <v>15.21</v>
      </c>
      <c r="F49" s="33" t="str">
        <f>MatP9066C92PerText</f>
        <v>Metre</v>
      </c>
      <c r="G49" s="32">
        <f t="shared" si="0"/>
        <v>45.63</v>
      </c>
    </row>
    <row r="50" spans="1:7" x14ac:dyDescent="0.2">
      <c r="D50" s="31"/>
      <c r="E50" s="32"/>
      <c r="F50" s="33"/>
      <c r="G50" s="32"/>
    </row>
    <row r="51" spans="1:7" x14ac:dyDescent="0.2">
      <c r="F51" s="34" t="s">
        <v>5</v>
      </c>
      <c r="G51" s="35">
        <f>SUM(G34:G50)</f>
        <v>180.5600002169609</v>
      </c>
    </row>
    <row r="52" spans="1:7" x14ac:dyDescent="0.2">
      <c r="G52" s="34"/>
    </row>
    <row r="53" spans="1:7" x14ac:dyDescent="0.2">
      <c r="A53" s="25" t="s">
        <v>15</v>
      </c>
      <c r="B53" s="25"/>
      <c r="D53" s="25"/>
      <c r="E53" s="25"/>
      <c r="F53" s="25"/>
      <c r="G53" s="25"/>
    </row>
    <row r="55" spans="1:7" x14ac:dyDescent="0.2">
      <c r="A55" s="102" t="s">
        <v>6</v>
      </c>
      <c r="B55" s="102"/>
      <c r="C55" s="102"/>
      <c r="D55" s="34" t="s">
        <v>7</v>
      </c>
      <c r="E55" s="34" t="s">
        <v>9</v>
      </c>
      <c r="F55" s="34" t="s">
        <v>8</v>
      </c>
      <c r="G55" s="34" t="s">
        <v>16</v>
      </c>
    </row>
    <row r="56" spans="1:7" x14ac:dyDescent="0.2">
      <c r="A56" s="103" t="str">
        <f>LabP8815R6L1G1Desc</f>
        <v>Main Area</v>
      </c>
      <c r="B56" s="103"/>
      <c r="C56" s="103"/>
      <c r="D56" s="36">
        <f>LabP8815R6L1G1Rate</f>
        <v>9</v>
      </c>
      <c r="E56" s="37">
        <f>'SOU-END-Porch (Lean to)'!Area</f>
        <v>3.11</v>
      </c>
      <c r="F56" s="27" t="str">
        <f xml:space="preserve"> "" &amp; LabP8815R6L1G1Per</f>
        <v>m²</v>
      </c>
      <c r="G56" s="36">
        <f>D56 * E56</f>
        <v>27.99</v>
      </c>
    </row>
    <row r="57" spans="1:7" x14ac:dyDescent="0.2">
      <c r="A57" s="24" t="str">
        <f>LabP8815R0L1G2Desc</f>
        <v>Eave</v>
      </c>
      <c r="D57" s="36">
        <f>LabP8815R0L1G2Rate</f>
        <v>2.5</v>
      </c>
      <c r="E57" s="37">
        <f>'SOU-END-Porch (Lean to)'!Eave</f>
        <v>1.7</v>
      </c>
      <c r="F57" s="27" t="str">
        <f xml:space="preserve"> "" &amp; LabP8815R0L1G2Per</f>
        <v>m</v>
      </c>
      <c r="G57" s="36">
        <f>D57 * E57</f>
        <v>4.25</v>
      </c>
    </row>
    <row r="58" spans="1:7" x14ac:dyDescent="0.2">
      <c r="A58" s="24" t="str">
        <f>LabP8815R0L1G3Desc</f>
        <v>Verge</v>
      </c>
      <c r="D58" s="36">
        <f>LabP8815R0L1G3Rate</f>
        <v>2.5</v>
      </c>
      <c r="E58" s="37">
        <f>LeftVerge+RightVerge</f>
        <v>3.66</v>
      </c>
      <c r="F58" s="27" t="str">
        <f xml:space="preserve"> "" &amp; LabP8815R0L1G3Per</f>
        <v>m</v>
      </c>
      <c r="G58" s="36">
        <f>D58 * E58</f>
        <v>9.15</v>
      </c>
    </row>
    <row r="59" spans="1:7" x14ac:dyDescent="0.2">
      <c r="A59" s="24" t="str">
        <f>LabP8815R15L1G243Desc</f>
        <v>Apron Flashing (Code 4)</v>
      </c>
      <c r="D59" s="36">
        <f>LabP8815R15L1G243Rate</f>
        <v>15</v>
      </c>
      <c r="E59" s="37">
        <v>1.7</v>
      </c>
      <c r="F59" s="27" t="str">
        <f xml:space="preserve"> "" &amp; LabP8815R15L1G243Per</f>
        <v>m</v>
      </c>
      <c r="G59" s="36">
        <f>D59 * E59</f>
        <v>25.5</v>
      </c>
    </row>
    <row r="60" spans="1:7" x14ac:dyDescent="0.2">
      <c r="A60" s="24" t="str">
        <f>LabP8815R150LabLabourforPorchesDesc</f>
        <v>Labour for Porches</v>
      </c>
      <c r="D60" s="36">
        <f>LabP8815R150LabLabourforPorchesRate</f>
        <v>150</v>
      </c>
      <c r="E60" s="37">
        <v>1</v>
      </c>
      <c r="F60" s="27" t="str">
        <f xml:space="preserve"> "" &amp; LabP8815R150LabLabourforPorchesPer</f>
        <v/>
      </c>
      <c r="G60" s="36">
        <f>D60 * E60</f>
        <v>150</v>
      </c>
    </row>
    <row r="61" spans="1:7" x14ac:dyDescent="0.2">
      <c r="D61" s="36"/>
      <c r="E61" s="37"/>
      <c r="F61" s="27"/>
      <c r="G61" s="36"/>
    </row>
    <row r="62" spans="1:7" x14ac:dyDescent="0.2">
      <c r="A62" s="103"/>
      <c r="B62" s="103"/>
      <c r="C62" s="103"/>
      <c r="D62" s="36"/>
      <c r="E62" s="37"/>
      <c r="G62" s="36"/>
    </row>
    <row r="63" spans="1:7" x14ac:dyDescent="0.2">
      <c r="F63" s="34" t="s">
        <v>5</v>
      </c>
      <c r="G63" s="35">
        <f>SUM(G56:G62)</f>
        <v>216.89</v>
      </c>
    </row>
    <row r="67" spans="1:3" x14ac:dyDescent="0.2">
      <c r="A67" s="34"/>
      <c r="B67" s="38"/>
    </row>
    <row r="69" spans="1:3" x14ac:dyDescent="0.2">
      <c r="A69" s="34"/>
      <c r="B69" s="38"/>
    </row>
    <row r="71" spans="1:3" x14ac:dyDescent="0.2">
      <c r="A71" s="34"/>
      <c r="B71" s="38"/>
    </row>
    <row r="73" spans="1:3" x14ac:dyDescent="0.2">
      <c r="A73" s="34"/>
      <c r="B73" s="38"/>
    </row>
    <row r="76" spans="1:3" x14ac:dyDescent="0.2">
      <c r="A76" s="34"/>
      <c r="B76" s="38"/>
      <c r="C76" s="39"/>
    </row>
    <row r="78" spans="1:3" x14ac:dyDescent="0.2">
      <c r="A78" s="34"/>
      <c r="B78" s="38"/>
    </row>
    <row r="80" spans="1:3" x14ac:dyDescent="0.2">
      <c r="A80" s="34"/>
      <c r="B80" s="38"/>
      <c r="C80" s="39"/>
    </row>
    <row r="82" spans="1:3" x14ac:dyDescent="0.2">
      <c r="A82" s="34"/>
      <c r="B82" s="38"/>
    </row>
    <row r="84" spans="1:3" x14ac:dyDescent="0.2">
      <c r="A84" s="34"/>
      <c r="B84" s="38"/>
    </row>
    <row r="87" spans="1:3" x14ac:dyDescent="0.2">
      <c r="A87" s="34"/>
      <c r="B87" s="38"/>
    </row>
    <row r="89" spans="1:3" x14ac:dyDescent="0.2">
      <c r="A89" s="34"/>
      <c r="B89" s="38"/>
    </row>
    <row r="91" spans="1:3" x14ac:dyDescent="0.2">
      <c r="A91" s="34"/>
      <c r="B91" s="38"/>
      <c r="C91" s="39"/>
    </row>
    <row r="94" spans="1:3" x14ac:dyDescent="0.2">
      <c r="A94" s="34"/>
      <c r="B94" s="40"/>
      <c r="C94" s="23"/>
    </row>
    <row r="97" spans="1:2" x14ac:dyDescent="0.2">
      <c r="A97" s="39"/>
      <c r="B97" s="41"/>
    </row>
  </sheetData>
  <mergeCells count="5">
    <mergeCell ref="B4:F4"/>
    <mergeCell ref="B5:F5"/>
    <mergeCell ref="A55:C55"/>
    <mergeCell ref="A56:C56"/>
    <mergeCell ref="A62:C62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E0D7F-FA3D-4E9B-A408-0919A2AD4641}">
  <dimension ref="A1:G119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212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139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49.23</v>
      </c>
      <c r="C9" s="23"/>
      <c r="D9" s="26"/>
    </row>
    <row r="10" spans="1:7" x14ac:dyDescent="0.2">
      <c r="A10" s="23" t="s">
        <v>114</v>
      </c>
      <c r="B10" s="24">
        <v>11.4</v>
      </c>
      <c r="C10" s="23"/>
      <c r="D10" s="26"/>
    </row>
    <row r="11" spans="1:7" x14ac:dyDescent="0.2">
      <c r="A11" s="23" t="s">
        <v>141</v>
      </c>
      <c r="B11" s="24">
        <v>1.7</v>
      </c>
      <c r="C11" s="23"/>
      <c r="D11" s="26"/>
    </row>
    <row r="12" spans="1:7" x14ac:dyDescent="0.2">
      <c r="A12" s="23" t="s">
        <v>115</v>
      </c>
      <c r="B12" s="24">
        <v>1.41</v>
      </c>
      <c r="C12" s="23"/>
      <c r="D12" s="26"/>
    </row>
    <row r="13" spans="1:7" x14ac:dyDescent="0.2">
      <c r="A13" s="23" t="s">
        <v>116</v>
      </c>
      <c r="B13" s="24">
        <v>1.41</v>
      </c>
      <c r="C13" s="23"/>
      <c r="D13" s="26"/>
    </row>
    <row r="14" spans="1:7" x14ac:dyDescent="0.2">
      <c r="A14" s="23" t="s">
        <v>158</v>
      </c>
      <c r="B14" s="24">
        <v>3.84</v>
      </c>
      <c r="C14" s="23"/>
      <c r="D14" s="26"/>
    </row>
    <row r="15" spans="1:7" x14ac:dyDescent="0.2">
      <c r="A15" s="23" t="s">
        <v>117</v>
      </c>
      <c r="B15" s="24">
        <v>7</v>
      </c>
      <c r="C15" s="23"/>
      <c r="D15" s="26"/>
    </row>
    <row r="16" spans="1:7" x14ac:dyDescent="0.2">
      <c r="A16" s="23" t="s">
        <v>153</v>
      </c>
      <c r="B16" s="24">
        <v>4.28</v>
      </c>
      <c r="C16" s="23"/>
      <c r="D16" s="26"/>
    </row>
    <row r="17" spans="1:7" x14ac:dyDescent="0.2">
      <c r="A17" s="23" t="s">
        <v>118</v>
      </c>
      <c r="B17" s="24">
        <v>11.84</v>
      </c>
      <c r="C17" s="23"/>
      <c r="D17" s="26"/>
    </row>
    <row r="18" spans="1:7" x14ac:dyDescent="0.2">
      <c r="A18" s="23" t="s">
        <v>119</v>
      </c>
      <c r="B18" s="24">
        <v>600</v>
      </c>
      <c r="C18" s="23"/>
      <c r="D18" s="26"/>
    </row>
    <row r="19" spans="1:7" x14ac:dyDescent="0.2">
      <c r="A19" s="23" t="s">
        <v>120</v>
      </c>
      <c r="B19" s="24" t="s">
        <v>208</v>
      </c>
      <c r="C19" s="23"/>
      <c r="D19" s="26"/>
    </row>
    <row r="20" spans="1:7" x14ac:dyDescent="0.2">
      <c r="A20" s="23"/>
      <c r="C20" s="23"/>
      <c r="D20" s="26"/>
    </row>
    <row r="21" spans="1:7" x14ac:dyDescent="0.2">
      <c r="A21" s="23"/>
      <c r="B21" s="27"/>
      <c r="C21" s="23"/>
      <c r="D21" s="26"/>
    </row>
    <row r="22" spans="1:7" x14ac:dyDescent="0.2">
      <c r="A22" s="28" t="s">
        <v>10</v>
      </c>
      <c r="B22" s="28"/>
      <c r="C22" s="28"/>
      <c r="D22" s="28"/>
      <c r="E22" s="28"/>
      <c r="F22" s="28"/>
      <c r="G22" s="28"/>
    </row>
    <row r="23" spans="1:7" x14ac:dyDescent="0.2">
      <c r="A23" s="28"/>
      <c r="B23" s="28"/>
      <c r="C23" s="28"/>
      <c r="D23" s="28"/>
      <c r="E23" s="28"/>
      <c r="F23" s="28"/>
      <c r="G23" s="28"/>
    </row>
    <row r="24" spans="1:7" x14ac:dyDescent="0.2">
      <c r="A24" s="29" t="s">
        <v>121</v>
      </c>
      <c r="B24" s="24" t="s">
        <v>122</v>
      </c>
      <c r="C24" s="29"/>
      <c r="D24" s="29"/>
      <c r="E24" s="29"/>
      <c r="F24" s="29"/>
    </row>
    <row r="25" spans="1:7" x14ac:dyDescent="0.2">
      <c r="A25" s="29" t="s">
        <v>123</v>
      </c>
      <c r="B25" s="24" t="s">
        <v>124</v>
      </c>
      <c r="C25" s="29"/>
      <c r="D25" s="29"/>
      <c r="E25" s="29"/>
      <c r="F25" s="29"/>
    </row>
    <row r="26" spans="1:7" x14ac:dyDescent="0.2">
      <c r="A26" s="29"/>
      <c r="B26" s="24" t="s">
        <v>125</v>
      </c>
      <c r="C26" s="29"/>
      <c r="D26" s="29"/>
      <c r="E26" s="29"/>
      <c r="F26" s="29"/>
    </row>
    <row r="27" spans="1:7" x14ac:dyDescent="0.2">
      <c r="A27" s="29" t="s">
        <v>126</v>
      </c>
      <c r="B27" s="24" t="s">
        <v>127</v>
      </c>
      <c r="C27" s="29"/>
      <c r="D27" s="29"/>
      <c r="E27" s="29"/>
      <c r="F27" s="29"/>
    </row>
    <row r="28" spans="1:7" x14ac:dyDescent="0.2">
      <c r="A28" s="29"/>
      <c r="B28" s="24" t="s">
        <v>142</v>
      </c>
      <c r="C28" s="29"/>
      <c r="D28" s="29"/>
      <c r="E28" s="29"/>
      <c r="F28" s="29"/>
    </row>
    <row r="29" spans="1:7" x14ac:dyDescent="0.2">
      <c r="A29" s="29" t="s">
        <v>129</v>
      </c>
      <c r="B29" s="24" t="s">
        <v>130</v>
      </c>
      <c r="C29" s="29"/>
      <c r="D29" s="29"/>
      <c r="E29" s="29"/>
      <c r="F29" s="29"/>
    </row>
    <row r="30" spans="1:7" x14ac:dyDescent="0.2">
      <c r="A30" s="29"/>
      <c r="B30" s="24" t="s">
        <v>131</v>
      </c>
      <c r="C30" s="29"/>
      <c r="D30" s="29"/>
      <c r="E30" s="29"/>
      <c r="F30" s="29"/>
    </row>
    <row r="31" spans="1:7" x14ac:dyDescent="0.2">
      <c r="A31" s="29" t="s">
        <v>160</v>
      </c>
      <c r="B31" s="24" t="s">
        <v>161</v>
      </c>
      <c r="C31" s="29"/>
      <c r="D31" s="29"/>
      <c r="E31" s="29"/>
      <c r="F31" s="29"/>
    </row>
    <row r="32" spans="1:7" x14ac:dyDescent="0.2">
      <c r="A32" s="29" t="s">
        <v>132</v>
      </c>
      <c r="B32" s="24" t="s">
        <v>133</v>
      </c>
      <c r="C32" s="29"/>
      <c r="D32" s="29"/>
      <c r="E32" s="29"/>
      <c r="F32" s="29"/>
    </row>
    <row r="33" spans="1:7" x14ac:dyDescent="0.2">
      <c r="A33" s="29" t="s">
        <v>134</v>
      </c>
      <c r="B33" s="24" t="s">
        <v>135</v>
      </c>
      <c r="C33" s="29"/>
      <c r="D33" s="29"/>
      <c r="E33" s="29"/>
      <c r="F33" s="29"/>
    </row>
    <row r="34" spans="1:7" x14ac:dyDescent="0.2">
      <c r="A34" s="29" t="s">
        <v>136</v>
      </c>
      <c r="B34" s="24" t="s">
        <v>137</v>
      </c>
      <c r="C34" s="29"/>
      <c r="D34" s="29"/>
      <c r="E34" s="29"/>
      <c r="F34" s="29"/>
    </row>
    <row r="35" spans="1:7" x14ac:dyDescent="0.2">
      <c r="A35" s="29"/>
      <c r="B35" s="24" t="s">
        <v>162</v>
      </c>
      <c r="C35" s="29"/>
      <c r="D35" s="29"/>
      <c r="E35" s="29"/>
      <c r="F35" s="29"/>
    </row>
    <row r="36" spans="1:7" x14ac:dyDescent="0.2">
      <c r="A36" s="29" t="s">
        <v>143</v>
      </c>
      <c r="B36" s="24" t="s">
        <v>144</v>
      </c>
      <c r="C36" s="29"/>
      <c r="D36" s="29"/>
      <c r="E36" s="29"/>
      <c r="F36" s="29"/>
    </row>
    <row r="37" spans="1:7" x14ac:dyDescent="0.2">
      <c r="A37" s="29"/>
      <c r="B37" s="24" t="s">
        <v>155</v>
      </c>
      <c r="C37" s="29"/>
      <c r="D37" s="29"/>
      <c r="E37" s="29"/>
      <c r="F37" s="29"/>
    </row>
    <row r="38" spans="1:7" x14ac:dyDescent="0.2">
      <c r="A38" s="29"/>
      <c r="C38" s="29"/>
      <c r="D38" s="29"/>
      <c r="E38" s="29"/>
      <c r="F38" s="29"/>
    </row>
    <row r="39" spans="1:7" x14ac:dyDescent="0.2">
      <c r="A39" s="29"/>
      <c r="C39" s="29"/>
      <c r="D39" s="29"/>
      <c r="E39" s="29"/>
      <c r="F39" s="29"/>
    </row>
    <row r="40" spans="1:7" x14ac:dyDescent="0.2">
      <c r="A40" s="25" t="s">
        <v>14</v>
      </c>
      <c r="B40" s="25"/>
      <c r="C40" s="25"/>
      <c r="D40" s="25"/>
      <c r="E40" s="25"/>
      <c r="F40" s="25"/>
      <c r="G40" s="25"/>
    </row>
    <row r="42" spans="1:7" s="29" customFormat="1" x14ac:dyDescent="0.2">
      <c r="A42" s="29" t="s">
        <v>25</v>
      </c>
      <c r="B42" s="29" t="s">
        <v>38</v>
      </c>
      <c r="C42" s="29" t="s">
        <v>2</v>
      </c>
      <c r="D42" s="30" t="s">
        <v>9</v>
      </c>
      <c r="E42" s="30" t="s">
        <v>3</v>
      </c>
      <c r="F42" s="30" t="s">
        <v>4</v>
      </c>
      <c r="G42" s="30" t="s">
        <v>16</v>
      </c>
    </row>
    <row r="43" spans="1:7" x14ac:dyDescent="0.2">
      <c r="A43" s="24" t="str">
        <f>MatP8815C0Colour</f>
        <v>Not Specified</v>
      </c>
      <c r="B43" s="24" t="str">
        <f>IF(MatP8815C0Code=0,"",MatP8815C0Code)</f>
        <v/>
      </c>
      <c r="C43" s="24" t="str">
        <f>MatP8815C0Desc</f>
        <v>TLE Tile</v>
      </c>
      <c r="D43" s="31">
        <v>527</v>
      </c>
      <c r="E43" s="32">
        <f>MatP8815C0Price</f>
        <v>1.2</v>
      </c>
      <c r="F43" s="33" t="str">
        <f>MatP8815C0PerText</f>
        <v>Each</v>
      </c>
      <c r="G43" s="32">
        <f t="shared" ref="G43:G64" si="0">D43 * E43</f>
        <v>632.4</v>
      </c>
    </row>
    <row r="44" spans="1:7" x14ac:dyDescent="0.2">
      <c r="A44" s="24" t="str">
        <f>MatP8870C0Colour</f>
        <v>Not Specified</v>
      </c>
      <c r="B44" s="24" t="str">
        <f>IF(MatP8870C0Code=0,"",MatP8870C0Code)</f>
        <v/>
      </c>
      <c r="C44" s="24" t="str">
        <f>MatP8870C0Desc</f>
        <v>Ridge Tile (450mm)</v>
      </c>
      <c r="D44" s="31">
        <v>16</v>
      </c>
      <c r="E44" s="32">
        <f>MatP8870C0Price</f>
        <v>3.64</v>
      </c>
      <c r="F44" s="33" t="str">
        <f>MatP8870C0PerText</f>
        <v>Each</v>
      </c>
      <c r="G44" s="32">
        <f t="shared" si="0"/>
        <v>58.24</v>
      </c>
    </row>
    <row r="45" spans="1:7" x14ac:dyDescent="0.2">
      <c r="A45" s="24" t="str">
        <f>MatP10135C0Colour</f>
        <v>Not Specified</v>
      </c>
      <c r="B45" s="24" t="str">
        <f>IF(MatP10135C0Code=0,"",MatP10135C0Code)</f>
        <v/>
      </c>
      <c r="C45" s="24" t="str">
        <f>MatP10135C0Desc</f>
        <v>VP300 Vapour Permeable Underlay (50m x 1m)</v>
      </c>
      <c r="D45" s="31">
        <v>2.0000000149011612</v>
      </c>
      <c r="E45" s="32">
        <f>MatP10135C0Price</f>
        <v>35</v>
      </c>
      <c r="F45" s="33" t="str">
        <f>MatP10135C0PerText</f>
        <v>Roll</v>
      </c>
      <c r="G45" s="32">
        <f t="shared" si="0"/>
        <v>70.000000521540642</v>
      </c>
    </row>
    <row r="46" spans="1:7" x14ac:dyDescent="0.2">
      <c r="A46" s="24" t="str">
        <f>MatP9008C0Colour</f>
        <v>Not Specified</v>
      </c>
      <c r="B46" s="24" t="str">
        <f>IF(MatP9008C0Code=0,"",MatP9008C0Code)</f>
        <v/>
      </c>
      <c r="C46" s="24" t="str">
        <f>MatP9008C0Desc</f>
        <v>Battens (50mm x 25mm)</v>
      </c>
      <c r="D46" s="31">
        <v>181</v>
      </c>
      <c r="E46" s="32">
        <f>MatP9008C0Price</f>
        <v>0.9</v>
      </c>
      <c r="F46" s="33" t="str">
        <f>MatP9008C0PerText</f>
        <v>Metre</v>
      </c>
      <c r="G46" s="32">
        <f t="shared" si="0"/>
        <v>162.9</v>
      </c>
    </row>
    <row r="47" spans="1:7" x14ac:dyDescent="0.2">
      <c r="A47" s="24" t="str">
        <f>MatP8879C15Colour</f>
        <v>Not Specified</v>
      </c>
      <c r="B47" s="24" t="str">
        <f>IF(MatP8879C15Code=0,"",MatP8879C15Code)</f>
        <v/>
      </c>
      <c r="C47" s="24" t="str">
        <f>MatP8879C15Desc</f>
        <v>Universal Dry Ridge/Hip System (6m)</v>
      </c>
      <c r="D47" s="31">
        <v>2</v>
      </c>
      <c r="E47" s="32">
        <f>MatP8879C15Price</f>
        <v>28.09</v>
      </c>
      <c r="F47" s="33" t="str">
        <f>MatP8879C15PerText</f>
        <v>Pack</v>
      </c>
      <c r="G47" s="32">
        <f t="shared" si="0"/>
        <v>56.18</v>
      </c>
    </row>
    <row r="48" spans="1:7" x14ac:dyDescent="0.2">
      <c r="A48" s="24" t="str">
        <f>MatP8857C0Colour</f>
        <v>Not Specified</v>
      </c>
      <c r="B48" s="24" t="str">
        <f>IF(MatP8857C0Code=0,"",MatP8857C0Code)</f>
        <v/>
      </c>
      <c r="C48" s="24" t="str">
        <f>MatP8857C0Desc</f>
        <v>LH Uni-Fix Dry Verge Unit</v>
      </c>
      <c r="D48" s="31">
        <v>10</v>
      </c>
      <c r="E48" s="32">
        <f>MatP8857C0Price</f>
        <v>1.1000000000000001</v>
      </c>
      <c r="F48" s="33" t="str">
        <f>MatP8857C0PerText</f>
        <v>Each</v>
      </c>
      <c r="G48" s="32">
        <f t="shared" si="0"/>
        <v>11</v>
      </c>
    </row>
    <row r="49" spans="1:7" x14ac:dyDescent="0.2">
      <c r="A49" s="24" t="str">
        <f>MatP8869C0Colour</f>
        <v>Not Specified</v>
      </c>
      <c r="B49" s="24" t="str">
        <f>IF(MatP8869C0Code=0,"",MatP8869C0Code)</f>
        <v/>
      </c>
      <c r="C49" s="24" t="str">
        <f>MatP8869C0Desc</f>
        <v>RH Uni-Fix Dry Verge Unit</v>
      </c>
      <c r="D49" s="31">
        <v>10</v>
      </c>
      <c r="E49" s="32">
        <f>MatP8869C0Price</f>
        <v>1.1000000000000001</v>
      </c>
      <c r="F49" s="33" t="str">
        <f>MatP8869C0PerText</f>
        <v>Each</v>
      </c>
      <c r="G49" s="32">
        <f t="shared" si="0"/>
        <v>11</v>
      </c>
    </row>
    <row r="50" spans="1:7" x14ac:dyDescent="0.2">
      <c r="A50" s="24" t="str">
        <f>MatP8877C0Colour</f>
        <v>Not Specified</v>
      </c>
      <c r="B50" s="24" t="str">
        <f>IF(MatP8877C0Code=0,"",MatP8877C0Code)</f>
        <v/>
      </c>
      <c r="C50" s="24" t="str">
        <f>MatP8877C0Desc</f>
        <v>Uni-Fix Universal Ridge End Cap</v>
      </c>
      <c r="D50" s="31">
        <v>1</v>
      </c>
      <c r="E50" s="32">
        <f>MatP8877C0Price</f>
        <v>1.6</v>
      </c>
      <c r="F50" s="33" t="str">
        <f>MatP8877C0PerText</f>
        <v>Each</v>
      </c>
      <c r="G50" s="32">
        <f t="shared" si="0"/>
        <v>1.6</v>
      </c>
    </row>
    <row r="51" spans="1:7" x14ac:dyDescent="0.2">
      <c r="A51" s="24" t="str">
        <f>MatP8830C20Colour</f>
        <v>Not Specified</v>
      </c>
      <c r="B51" s="24" t="str">
        <f>IF(MatP8830C20Code=0,"",MatP8830C20Code)</f>
        <v/>
      </c>
      <c r="C51" s="24" t="str">
        <f>MatP8830C20Desc</f>
        <v>Dry Verge Starter Unit</v>
      </c>
      <c r="D51" s="31">
        <v>2</v>
      </c>
      <c r="E51" s="32">
        <f>MatP8830C20Price</f>
        <v>1.51</v>
      </c>
      <c r="F51" s="33" t="str">
        <f>MatP8830C20PerText</f>
        <v>Each</v>
      </c>
      <c r="G51" s="32">
        <f t="shared" si="0"/>
        <v>3.02</v>
      </c>
    </row>
    <row r="52" spans="1:7" x14ac:dyDescent="0.2">
      <c r="A52" s="24" t="str">
        <f>MatP8821C20Colour</f>
        <v>Not Specified</v>
      </c>
      <c r="B52" s="24" t="str">
        <f>IF(MatP8821C20Code=0,"",MatP8821C20Code)</f>
        <v/>
      </c>
      <c r="C52" s="24" t="str">
        <f>MatP8821C20Desc</f>
        <v>25mm Over Fascia Vent (1m)</v>
      </c>
      <c r="D52" s="31">
        <v>12</v>
      </c>
      <c r="E52" s="32">
        <f>MatP8821C20Price</f>
        <v>1.9</v>
      </c>
      <c r="F52" s="33" t="str">
        <f>MatP8821C20PerText</f>
        <v>Each</v>
      </c>
      <c r="G52" s="32">
        <f t="shared" si="0"/>
        <v>22.799999999999997</v>
      </c>
    </row>
    <row r="53" spans="1:7" x14ac:dyDescent="0.2">
      <c r="A53" s="24" t="str">
        <f>MatP8624C0Colour</f>
        <v>Not Specified</v>
      </c>
      <c r="B53" s="24" t="str">
        <f>IF(MatP8624C0Code=0,"",MatP8624C0Code)</f>
        <v/>
      </c>
      <c r="C53" s="24" t="str">
        <f>MatP8624C0Desc</f>
        <v>Generic Party Wall Insulation (1m)</v>
      </c>
      <c r="D53" s="31">
        <v>12</v>
      </c>
      <c r="E53" s="32">
        <f>MatP8624C0Price</f>
        <v>5</v>
      </c>
      <c r="F53" s="33" t="str">
        <f>MatP8624C0PerText</f>
        <v>Each</v>
      </c>
      <c r="G53" s="32">
        <f t="shared" si="0"/>
        <v>60</v>
      </c>
    </row>
    <row r="54" spans="1:7" x14ac:dyDescent="0.2">
      <c r="A54" s="24" t="str">
        <f>MatP8281C0Colour</f>
        <v>Not Specified</v>
      </c>
      <c r="B54" s="24" t="str">
        <f>IF(MatP8281C0Code=0,"",MatP8281C0Code)</f>
        <v/>
      </c>
      <c r="C54" s="24" t="str">
        <f>MatP8281C0Desc</f>
        <v>Generic Eave Insulation (1m)</v>
      </c>
      <c r="D54" s="31">
        <v>12</v>
      </c>
      <c r="E54" s="32">
        <f>MatP8281C0Price</f>
        <v>5</v>
      </c>
      <c r="F54" s="33" t="str">
        <f>MatP8281C0PerText</f>
        <v>Each</v>
      </c>
      <c r="G54" s="32">
        <f t="shared" si="0"/>
        <v>60</v>
      </c>
    </row>
    <row r="55" spans="1:7" x14ac:dyDescent="0.2">
      <c r="A55" s="24" t="str">
        <f>MatP8866C20Colour</f>
        <v>Not Specified</v>
      </c>
      <c r="B55" s="24" t="str">
        <f>IF(MatP8866C20Code=0,"",MatP8866C20Code)</f>
        <v/>
      </c>
      <c r="C55" s="24" t="str">
        <f>MatP8866C20Desc</f>
        <v>Rafter Roll (6m x 600mm)</v>
      </c>
      <c r="D55" s="31">
        <v>2</v>
      </c>
      <c r="E55" s="32">
        <f>MatP8866C20Price</f>
        <v>9.5</v>
      </c>
      <c r="F55" s="33" t="str">
        <f>MatP8866C20PerText</f>
        <v>Each</v>
      </c>
      <c r="G55" s="32">
        <f t="shared" si="0"/>
        <v>19</v>
      </c>
    </row>
    <row r="56" spans="1:7" x14ac:dyDescent="0.2">
      <c r="A56" s="24" t="str">
        <f>MatP8874C20Colour</f>
        <v>Not Specified</v>
      </c>
      <c r="B56" s="24" t="str">
        <f>IF(MatP8874C20Code=0,"",MatP8874C20Code)</f>
        <v/>
      </c>
      <c r="C56" s="24" t="str">
        <f>MatP8874C20Desc</f>
        <v>Underlay Support Tray (1.5m)</v>
      </c>
      <c r="D56" s="31">
        <v>8</v>
      </c>
      <c r="E56" s="32">
        <f>MatP8874C20Price</f>
        <v>1.5</v>
      </c>
      <c r="F56" s="33" t="str">
        <f>MatP8874C20PerText</f>
        <v>Each</v>
      </c>
      <c r="G56" s="32">
        <f t="shared" si="0"/>
        <v>12</v>
      </c>
    </row>
    <row r="57" spans="1:7" x14ac:dyDescent="0.2">
      <c r="A57" s="24" t="str">
        <f>MatP8838C92Colour</f>
        <v>Not Specified</v>
      </c>
      <c r="B57" s="24" t="str">
        <f>IF(MatP8838C92Code=0,"",MatP8838C92Code)</f>
        <v/>
      </c>
      <c r="C57" s="24" t="str">
        <f>MatP8838C92Desc</f>
        <v>GRP Dry Fix Valley Trough - Over Batten Fix (3m x 400mm x 70mm)</v>
      </c>
      <c r="D57" s="31">
        <v>2</v>
      </c>
      <c r="E57" s="32">
        <f>MatP8838C92Price</f>
        <v>32.5</v>
      </c>
      <c r="F57" s="33" t="str">
        <f>MatP8838C92PerText</f>
        <v>Each</v>
      </c>
      <c r="G57" s="32">
        <f t="shared" si="0"/>
        <v>65</v>
      </c>
    </row>
    <row r="58" spans="1:7" x14ac:dyDescent="0.2">
      <c r="A58" s="24" t="str">
        <f>MatP8872C539Colour</f>
        <v>Not Specified</v>
      </c>
      <c r="B58" s="24" t="str">
        <f>IF(MatP8872C539Code=0,"",MatP8872C539Code)</f>
        <v/>
      </c>
      <c r="C58" s="24" t="str">
        <f>MatP8872C539Desc</f>
        <v>Sidelock Tile Clips (TLE)</v>
      </c>
      <c r="D58" s="31">
        <v>188</v>
      </c>
      <c r="E58" s="32">
        <f>MatP8872C539Price</f>
        <v>7.0000000000000007E-2</v>
      </c>
      <c r="F58" s="33" t="str">
        <f>MatP8872C539PerText</f>
        <v>Each</v>
      </c>
      <c r="G58" s="32">
        <f t="shared" si="0"/>
        <v>13.160000000000002</v>
      </c>
    </row>
    <row r="59" spans="1:7" x14ac:dyDescent="0.2">
      <c r="A59" s="24" t="str">
        <f>MatP8826C539Colour</f>
        <v>Not Specified</v>
      </c>
      <c r="B59" s="24" t="str">
        <f>IF(MatP8826C539Code=0,"",MatP8826C539Code)</f>
        <v/>
      </c>
      <c r="C59" s="24" t="str">
        <f>MatP8826C539Desc</f>
        <v>Metal Batten End Clips</v>
      </c>
      <c r="D59" s="31">
        <v>10</v>
      </c>
      <c r="E59" s="32">
        <f>MatP8826C539Price</f>
        <v>0.28000000000000003</v>
      </c>
      <c r="F59" s="33" t="str">
        <f>MatP8826C539PerText</f>
        <v>Each</v>
      </c>
      <c r="G59" s="32">
        <f t="shared" si="0"/>
        <v>2.8000000000000003</v>
      </c>
    </row>
    <row r="60" spans="1:7" x14ac:dyDescent="0.2">
      <c r="A60" s="24" t="str">
        <f>MatP8831C539Colour</f>
        <v>Not Specified</v>
      </c>
      <c r="B60" s="24" t="str">
        <f>IF(MatP8831C539Code=0,"",MatP8831C539Code)</f>
        <v/>
      </c>
      <c r="C60" s="24" t="str">
        <f>MatP8831C539Desc</f>
        <v>Eave Clip</v>
      </c>
      <c r="D60" s="31">
        <v>40</v>
      </c>
      <c r="E60" s="32">
        <f>MatP8831C539Price</f>
        <v>0.1</v>
      </c>
      <c r="F60" s="33" t="str">
        <f>MatP8831C539PerText</f>
        <v>Each</v>
      </c>
      <c r="G60" s="32">
        <f t="shared" si="0"/>
        <v>4</v>
      </c>
    </row>
    <row r="61" spans="1:7" x14ac:dyDescent="0.2">
      <c r="A61" s="24" t="str">
        <f>MatP9318C0Colour</f>
        <v>Not Specified</v>
      </c>
      <c r="B61" s="24" t="str">
        <f>IF(MatP9318C0Code=0,"",MatP9318C0Code)</f>
        <v/>
      </c>
      <c r="C61" s="24" t="str">
        <f>MatP9318C0Desc</f>
        <v>45mm x 3.35mm Aluminium Nails</v>
      </c>
      <c r="D61" s="31">
        <v>2</v>
      </c>
      <c r="E61" s="32">
        <f>MatP9318C0Price</f>
        <v>7.28</v>
      </c>
      <c r="F61" s="33" t="str">
        <f>MatP9318C0PerText</f>
        <v>Kg</v>
      </c>
      <c r="G61" s="32">
        <f t="shared" si="0"/>
        <v>14.56</v>
      </c>
    </row>
    <row r="62" spans="1:7" x14ac:dyDescent="0.2">
      <c r="A62" s="24" t="str">
        <f>MatP9100C0Colour</f>
        <v>Not Specified</v>
      </c>
      <c r="B62" s="24" t="str">
        <f>IF(MatP9100C0Code=0,"",MatP9100C0Code)</f>
        <v/>
      </c>
      <c r="C62" s="24" t="str">
        <f>MatP9100C0Desc</f>
        <v>Batten Nails - 65mm x 3.35mm Galvanised</v>
      </c>
      <c r="D62" s="31">
        <v>2</v>
      </c>
      <c r="E62" s="32">
        <f>MatP9100C0Price</f>
        <v>4.5</v>
      </c>
      <c r="F62" s="33" t="str">
        <f>MatP9100C0PerText</f>
        <v>Kg</v>
      </c>
      <c r="G62" s="32">
        <f t="shared" si="0"/>
        <v>9</v>
      </c>
    </row>
    <row r="63" spans="1:7" x14ac:dyDescent="0.2">
      <c r="A63" s="24" t="str">
        <f>MatP9066C92Colour</f>
        <v>Not Specified</v>
      </c>
      <c r="B63" s="24" t="str">
        <f>IF(MatP9066C92Code=0,"",MatP9066C92Code)</f>
        <v/>
      </c>
      <c r="C63" s="24" t="str">
        <f>MatP9066C92Desc</f>
        <v>Lead Code 4 - 300mm (6m)</v>
      </c>
      <c r="D63" s="31">
        <v>9</v>
      </c>
      <c r="E63" s="32">
        <f>MatP9066C92Price</f>
        <v>15.21</v>
      </c>
      <c r="F63" s="33" t="str">
        <f>MatP9066C92PerText</f>
        <v>Metre</v>
      </c>
      <c r="G63" s="32">
        <f t="shared" si="0"/>
        <v>136.89000000000001</v>
      </c>
    </row>
    <row r="64" spans="1:7" x14ac:dyDescent="0.2">
      <c r="A64" s="24" t="str">
        <f>MatLeadValleySaddleColour</f>
        <v>Not Specified</v>
      </c>
      <c r="B64" s="24" t="str">
        <f>IF(MatLeadValleySaddleCode=0,"",MatLeadValleySaddleCode)</f>
        <v/>
      </c>
      <c r="C64" s="24" t="str">
        <f>MatLeadValleySaddleDesc</f>
        <v>Lead Valley Saddle</v>
      </c>
      <c r="D64" s="31">
        <v>1</v>
      </c>
      <c r="E64" s="32">
        <f>MatLeadValleySaddlePrice</f>
        <v>15</v>
      </c>
      <c r="F64" s="33" t="str">
        <f>MatLeadValleySaddlePerText</f>
        <v>Each</v>
      </c>
      <c r="G64" s="32">
        <f t="shared" si="0"/>
        <v>15</v>
      </c>
    </row>
    <row r="65" spans="1:7" x14ac:dyDescent="0.2">
      <c r="D65" s="31"/>
      <c r="E65" s="32"/>
      <c r="F65" s="33"/>
      <c r="G65" s="32"/>
    </row>
    <row r="66" spans="1:7" x14ac:dyDescent="0.2">
      <c r="F66" s="34" t="s">
        <v>5</v>
      </c>
      <c r="G66" s="35">
        <f>SUM(G43:G65)</f>
        <v>1440.5500005215406</v>
      </c>
    </row>
    <row r="67" spans="1:7" x14ac:dyDescent="0.2">
      <c r="G67" s="34"/>
    </row>
    <row r="68" spans="1:7" x14ac:dyDescent="0.2">
      <c r="A68" s="25" t="s">
        <v>15</v>
      </c>
      <c r="B68" s="25"/>
      <c r="D68" s="25"/>
      <c r="E68" s="25"/>
      <c r="F68" s="25"/>
      <c r="G68" s="25"/>
    </row>
    <row r="70" spans="1:7" x14ac:dyDescent="0.2">
      <c r="A70" s="102" t="s">
        <v>6</v>
      </c>
      <c r="B70" s="102"/>
      <c r="C70" s="102"/>
      <c r="D70" s="34" t="s">
        <v>7</v>
      </c>
      <c r="E70" s="34" t="s">
        <v>9</v>
      </c>
      <c r="F70" s="34" t="s">
        <v>8</v>
      </c>
      <c r="G70" s="34" t="s">
        <v>16</v>
      </c>
    </row>
    <row r="71" spans="1:7" x14ac:dyDescent="0.2">
      <c r="A71" s="103" t="str">
        <f>LabP8815R6L1G1Desc</f>
        <v>Main Area</v>
      </c>
      <c r="B71" s="103"/>
      <c r="C71" s="103"/>
      <c r="D71" s="36">
        <f>LabP8815R6L1G1Rate</f>
        <v>9</v>
      </c>
      <c r="E71" s="37">
        <f>'SOU-MID-Main Roof'!Area</f>
        <v>49.23</v>
      </c>
      <c r="F71" s="27" t="str">
        <f xml:space="preserve"> "" &amp; LabP8815R6L1G1Per</f>
        <v>m²</v>
      </c>
      <c r="G71" s="36">
        <f t="shared" ref="G71:G82" si="1">D71 * E71</f>
        <v>443.07</v>
      </c>
    </row>
    <row r="72" spans="1:7" x14ac:dyDescent="0.2">
      <c r="A72" s="24" t="str">
        <f>LabP8815R0L1G2Desc</f>
        <v>Eave</v>
      </c>
      <c r="D72" s="36">
        <f>LabP8815R0L1G2Rate</f>
        <v>2.5</v>
      </c>
      <c r="E72" s="37">
        <f>'SOU-MID-Main Roof'!Eave</f>
        <v>11.4</v>
      </c>
      <c r="F72" s="27" t="str">
        <f xml:space="preserve"> "" &amp; LabP8815R0L1G2Per</f>
        <v>m</v>
      </c>
      <c r="G72" s="36">
        <f t="shared" si="1"/>
        <v>28.5</v>
      </c>
    </row>
    <row r="73" spans="1:7" x14ac:dyDescent="0.2">
      <c r="A73" s="24" t="str">
        <f>LabP8815R0L1G3Desc</f>
        <v>Verge</v>
      </c>
      <c r="D73" s="36">
        <f>LabP8815R0L1G3Rate</f>
        <v>2.5</v>
      </c>
      <c r="E73" s="37">
        <f>LeftVerge+RightVerge</f>
        <v>2.82</v>
      </c>
      <c r="F73" s="27" t="str">
        <f xml:space="preserve"> "" &amp; LabP8815R0L1G3Per</f>
        <v>m</v>
      </c>
      <c r="G73" s="36">
        <f t="shared" si="1"/>
        <v>7.05</v>
      </c>
    </row>
    <row r="74" spans="1:7" x14ac:dyDescent="0.2">
      <c r="A74" s="24" t="str">
        <f>LabP8815R15L1G7Desc</f>
        <v>Valley</v>
      </c>
      <c r="D74" s="36">
        <f>LabP8815R15L1G7Rate</f>
        <v>15</v>
      </c>
      <c r="E74" s="37">
        <f>'SOU-MID-Main Roof'!Valley</f>
        <v>3.84</v>
      </c>
      <c r="F74" s="27" t="str">
        <f xml:space="preserve"> "" &amp; LabP8815R15L1G7Per</f>
        <v>m</v>
      </c>
      <c r="G74" s="36">
        <f t="shared" si="1"/>
        <v>57.599999999999994</v>
      </c>
    </row>
    <row r="75" spans="1:7" x14ac:dyDescent="0.2">
      <c r="A75" s="24" t="str">
        <f>LabP8815R0L1G8Desc</f>
        <v>Duo Ridge</v>
      </c>
      <c r="D75" s="36">
        <f>LabP8815R0L1G8Rate</f>
        <v>2.5</v>
      </c>
      <c r="E75" s="37">
        <f>'SOU-MID-Main Roof'!DuoRidge</f>
        <v>7</v>
      </c>
      <c r="F75" s="27" t="str">
        <f xml:space="preserve"> "" &amp; LabP8815R0L1G8Per</f>
        <v>m</v>
      </c>
      <c r="G75" s="36">
        <f t="shared" si="1"/>
        <v>17.5</v>
      </c>
    </row>
    <row r="76" spans="1:7" x14ac:dyDescent="0.2">
      <c r="A76" s="24" t="str">
        <f>LabP8815R0L1G10Desc</f>
        <v>Abut Courses</v>
      </c>
      <c r="D76" s="36">
        <f>LabP8815R0L1G10Rate</f>
        <v>5</v>
      </c>
      <c r="E76" s="37">
        <f>'SOU-MID-Main Roof'!AbutCourses</f>
        <v>4.28</v>
      </c>
      <c r="F76" s="27" t="str">
        <f xml:space="preserve"> "" &amp; LabP8815R0L1G10Per</f>
        <v>m</v>
      </c>
      <c r="G76" s="36">
        <f t="shared" si="1"/>
        <v>21.400000000000002</v>
      </c>
    </row>
    <row r="77" spans="1:7" x14ac:dyDescent="0.2">
      <c r="A77" s="24" t="str">
        <f>LabP8815R0L1G241Desc</f>
        <v>Party Wall Insulation</v>
      </c>
      <c r="D77" s="36">
        <f>LabP8815R0L1G241Rate</f>
        <v>1.5</v>
      </c>
      <c r="E77" s="37">
        <v>11.84</v>
      </c>
      <c r="F77" s="27" t="str">
        <f xml:space="preserve"> "" &amp; LabP8815R0L1G241Per</f>
        <v>m</v>
      </c>
      <c r="G77" s="36">
        <f t="shared" si="1"/>
        <v>17.759999999999998</v>
      </c>
    </row>
    <row r="78" spans="1:7" x14ac:dyDescent="0.2">
      <c r="A78" s="24" t="str">
        <f>LabP8815R15L1G243Desc</f>
        <v>Apron Flashing (Code 4)</v>
      </c>
      <c r="D78" s="36">
        <f>LabP8815R15L1G243Rate</f>
        <v>15</v>
      </c>
      <c r="E78" s="37">
        <v>1.8</v>
      </c>
      <c r="F78" s="27" t="str">
        <f xml:space="preserve"> "" &amp; LabP8815R15L1G243Per</f>
        <v>m</v>
      </c>
      <c r="G78" s="36">
        <f t="shared" si="1"/>
        <v>27</v>
      </c>
    </row>
    <row r="79" spans="1:7" x14ac:dyDescent="0.2">
      <c r="A79" s="24" t="str">
        <f>LabP8815R15L1G274Desc</f>
        <v>Step and Cover Flashing (Code 4)</v>
      </c>
      <c r="D79" s="36">
        <f>LabP8815R15L1G274Rate</f>
        <v>15</v>
      </c>
      <c r="E79" s="37">
        <v>4.28</v>
      </c>
      <c r="F79" s="27" t="str">
        <f xml:space="preserve"> "" &amp; LabP8815R15L1G274Per</f>
        <v>m</v>
      </c>
      <c r="G79" s="36">
        <f t="shared" si="1"/>
        <v>64.2</v>
      </c>
    </row>
    <row r="80" spans="1:7" x14ac:dyDescent="0.2">
      <c r="A80" s="24" t="str">
        <f>LabP8815R0LabCuttingandDressingtoGRPDormersDesc</f>
        <v>Cutting and Dressing to GRP Dormers</v>
      </c>
      <c r="D80" s="36">
        <f>LabP8815R0LabCuttingandDressingtoGRPDormersRate</f>
        <v>35</v>
      </c>
      <c r="E80" s="37">
        <v>1</v>
      </c>
      <c r="F80" s="27" t="str">
        <f xml:space="preserve"> "" &amp; LabP8815R0LabCuttingandDressingtoGRPDormersPer</f>
        <v/>
      </c>
      <c r="G80" s="36">
        <f t="shared" si="1"/>
        <v>35</v>
      </c>
    </row>
    <row r="81" spans="1:7" x14ac:dyDescent="0.2">
      <c r="A81" s="24" t="str">
        <f>LabP8815R30LabLabourforCuttingtoVeluxDesc</f>
        <v>Labour for Cutting to Velux</v>
      </c>
      <c r="D81" s="36">
        <f>LabP8815R30LabLabourforCuttingtoVeluxRate</f>
        <v>30</v>
      </c>
      <c r="E81" s="37">
        <v>1</v>
      </c>
      <c r="F81" s="27" t="str">
        <f xml:space="preserve"> "" &amp; LabP8815R30LabLabourforCuttingtoVeluxPer</f>
        <v/>
      </c>
      <c r="G81" s="36">
        <f t="shared" si="1"/>
        <v>30</v>
      </c>
    </row>
    <row r="82" spans="1:7" x14ac:dyDescent="0.2">
      <c r="A82" s="24" t="str">
        <f>LabP8815R30LabLabourforCuttingtoSolarPanelsDesc</f>
        <v>Labour for Cutting to Solar Panels</v>
      </c>
      <c r="D82" s="36">
        <f>LabP8815R30LabLabourforCuttingtoSolarPanelsRate</f>
        <v>30</v>
      </c>
      <c r="E82" s="37">
        <v>2</v>
      </c>
      <c r="F82" s="27" t="str">
        <f xml:space="preserve"> "" &amp; LabP8815R30LabLabourforCuttingtoSolarPanelsPer</f>
        <v/>
      </c>
      <c r="G82" s="36">
        <f t="shared" si="1"/>
        <v>60</v>
      </c>
    </row>
    <row r="83" spans="1:7" x14ac:dyDescent="0.2">
      <c r="D83" s="36"/>
      <c r="E83" s="37"/>
      <c r="F83" s="27"/>
      <c r="G83" s="36"/>
    </row>
    <row r="84" spans="1:7" x14ac:dyDescent="0.2">
      <c r="A84" s="103"/>
      <c r="B84" s="103"/>
      <c r="C84" s="103"/>
      <c r="D84" s="36"/>
      <c r="E84" s="37"/>
      <c r="G84" s="36"/>
    </row>
    <row r="85" spans="1:7" x14ac:dyDescent="0.2">
      <c r="F85" s="34" t="s">
        <v>5</v>
      </c>
      <c r="G85" s="35">
        <f>SUM(G71:G84)</f>
        <v>809.08</v>
      </c>
    </row>
    <row r="89" spans="1:7" x14ac:dyDescent="0.2">
      <c r="A89" s="34"/>
      <c r="B89" s="38"/>
    </row>
    <row r="91" spans="1:7" x14ac:dyDescent="0.2">
      <c r="A91" s="34"/>
      <c r="B91" s="38"/>
    </row>
    <row r="93" spans="1:7" x14ac:dyDescent="0.2">
      <c r="A93" s="34"/>
      <c r="B93" s="38"/>
    </row>
    <row r="95" spans="1:7" x14ac:dyDescent="0.2">
      <c r="A95" s="34"/>
      <c r="B95" s="38"/>
    </row>
    <row r="98" spans="1:3" x14ac:dyDescent="0.2">
      <c r="A98" s="34"/>
      <c r="B98" s="38"/>
      <c r="C98" s="39"/>
    </row>
    <row r="100" spans="1:3" x14ac:dyDescent="0.2">
      <c r="A100" s="34"/>
      <c r="B100" s="38"/>
    </row>
    <row r="102" spans="1:3" x14ac:dyDescent="0.2">
      <c r="A102" s="34"/>
      <c r="B102" s="38"/>
      <c r="C102" s="39"/>
    </row>
    <row r="104" spans="1:3" x14ac:dyDescent="0.2">
      <c r="A104" s="34"/>
      <c r="B104" s="38"/>
    </row>
    <row r="106" spans="1:3" x14ac:dyDescent="0.2">
      <c r="A106" s="34"/>
      <c r="B106" s="38"/>
    </row>
    <row r="109" spans="1:3" x14ac:dyDescent="0.2">
      <c r="A109" s="34"/>
      <c r="B109" s="38"/>
    </row>
    <row r="111" spans="1:3" x14ac:dyDescent="0.2">
      <c r="A111" s="34"/>
      <c r="B111" s="38"/>
    </row>
    <row r="113" spans="1:3" x14ac:dyDescent="0.2">
      <c r="A113" s="34"/>
      <c r="B113" s="38"/>
      <c r="C113" s="39"/>
    </row>
    <row r="116" spans="1:3" x14ac:dyDescent="0.2">
      <c r="A116" s="34"/>
      <c r="B116" s="40"/>
      <c r="C116" s="23"/>
    </row>
    <row r="119" spans="1:3" x14ac:dyDescent="0.2">
      <c r="A119" s="39"/>
      <c r="B119" s="41"/>
    </row>
  </sheetData>
  <mergeCells count="5">
    <mergeCell ref="B4:F4"/>
    <mergeCell ref="B5:F5"/>
    <mergeCell ref="A70:C70"/>
    <mergeCell ref="A71:C71"/>
    <mergeCell ref="A84:C84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8F7BF-5C8C-49CD-B7CA-3F4DCCB4C63F}">
  <dimension ref="A1:G97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212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145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3.11</v>
      </c>
      <c r="C9" s="23"/>
      <c r="D9" s="26"/>
    </row>
    <row r="10" spans="1:7" x14ac:dyDescent="0.2">
      <c r="A10" s="23" t="s">
        <v>114</v>
      </c>
      <c r="B10" s="24">
        <v>1.7</v>
      </c>
      <c r="C10" s="23"/>
      <c r="D10" s="26"/>
    </row>
    <row r="11" spans="1:7" x14ac:dyDescent="0.2">
      <c r="A11" s="23" t="s">
        <v>141</v>
      </c>
      <c r="B11" s="24">
        <v>1.7</v>
      </c>
      <c r="C11" s="23"/>
      <c r="D11" s="26"/>
    </row>
    <row r="12" spans="1:7" x14ac:dyDescent="0.2">
      <c r="A12" s="23" t="s">
        <v>115</v>
      </c>
      <c r="B12" s="24">
        <v>1.83</v>
      </c>
      <c r="C12" s="23"/>
      <c r="D12" s="26"/>
    </row>
    <row r="13" spans="1:7" x14ac:dyDescent="0.2">
      <c r="A13" s="23" t="s">
        <v>116</v>
      </c>
      <c r="B13" s="24">
        <v>1.83</v>
      </c>
      <c r="C13" s="23"/>
      <c r="D13" s="26"/>
    </row>
    <row r="14" spans="1:7" x14ac:dyDescent="0.2">
      <c r="A14" s="23" t="s">
        <v>119</v>
      </c>
      <c r="B14" s="24">
        <v>600</v>
      </c>
      <c r="C14" s="23"/>
      <c r="D14" s="26"/>
    </row>
    <row r="15" spans="1:7" x14ac:dyDescent="0.2">
      <c r="A15" s="23" t="s">
        <v>120</v>
      </c>
      <c r="B15" s="24">
        <v>29</v>
      </c>
      <c r="C15" s="23"/>
      <c r="D15" s="26"/>
    </row>
    <row r="16" spans="1:7" x14ac:dyDescent="0.2">
      <c r="A16" s="23"/>
      <c r="C16" s="23"/>
      <c r="D16" s="26"/>
    </row>
    <row r="17" spans="1:7" x14ac:dyDescent="0.2">
      <c r="A17" s="23"/>
      <c r="B17" s="27"/>
      <c r="C17" s="23"/>
      <c r="D17" s="26"/>
    </row>
    <row r="18" spans="1:7" x14ac:dyDescent="0.2">
      <c r="A18" s="28" t="s">
        <v>10</v>
      </c>
      <c r="B18" s="28"/>
      <c r="C18" s="28"/>
      <c r="D18" s="28"/>
      <c r="E18" s="28"/>
      <c r="F18" s="28"/>
      <c r="G18" s="28"/>
    </row>
    <row r="19" spans="1:7" x14ac:dyDescent="0.2">
      <c r="A19" s="28"/>
      <c r="B19" s="28"/>
      <c r="C19" s="28"/>
      <c r="D19" s="28"/>
      <c r="E19" s="28"/>
      <c r="F19" s="28"/>
      <c r="G19" s="28"/>
    </row>
    <row r="20" spans="1:7" x14ac:dyDescent="0.2">
      <c r="A20" s="29" t="s">
        <v>121</v>
      </c>
      <c r="B20" s="24" t="s">
        <v>122</v>
      </c>
      <c r="C20" s="29"/>
      <c r="D20" s="29"/>
      <c r="E20" s="29"/>
      <c r="F20" s="29"/>
    </row>
    <row r="21" spans="1:7" x14ac:dyDescent="0.2">
      <c r="A21" s="29" t="s">
        <v>123</v>
      </c>
      <c r="B21" s="24" t="s">
        <v>124</v>
      </c>
      <c r="C21" s="29"/>
      <c r="D21" s="29"/>
      <c r="E21" s="29"/>
      <c r="F21" s="29"/>
    </row>
    <row r="22" spans="1:7" x14ac:dyDescent="0.2">
      <c r="A22" s="29"/>
      <c r="B22" s="24" t="s">
        <v>125</v>
      </c>
      <c r="C22" s="29"/>
      <c r="D22" s="29"/>
      <c r="E22" s="29"/>
      <c r="F22" s="29"/>
    </row>
    <row r="23" spans="1:7" x14ac:dyDescent="0.2">
      <c r="A23" s="29" t="s">
        <v>126</v>
      </c>
      <c r="B23" s="24" t="s">
        <v>127</v>
      </c>
      <c r="C23" s="29"/>
      <c r="D23" s="29"/>
      <c r="E23" s="29"/>
      <c r="F23" s="29"/>
    </row>
    <row r="24" spans="1:7" x14ac:dyDescent="0.2">
      <c r="A24" s="29"/>
      <c r="B24" s="24" t="s">
        <v>142</v>
      </c>
      <c r="C24" s="29"/>
      <c r="D24" s="29"/>
      <c r="E24" s="29"/>
      <c r="F24" s="29"/>
    </row>
    <row r="25" spans="1:7" x14ac:dyDescent="0.2">
      <c r="A25" s="29" t="s">
        <v>129</v>
      </c>
      <c r="B25" s="24" t="s">
        <v>130</v>
      </c>
      <c r="C25" s="29"/>
      <c r="D25" s="29"/>
      <c r="E25" s="29"/>
      <c r="F25" s="29"/>
    </row>
    <row r="26" spans="1:7" x14ac:dyDescent="0.2">
      <c r="A26" s="29" t="s">
        <v>134</v>
      </c>
      <c r="B26" s="24" t="s">
        <v>135</v>
      </c>
      <c r="C26" s="29"/>
      <c r="D26" s="29"/>
      <c r="E26" s="29"/>
      <c r="F26" s="29"/>
    </row>
    <row r="27" spans="1:7" x14ac:dyDescent="0.2">
      <c r="A27" s="29" t="s">
        <v>136</v>
      </c>
      <c r="B27" s="24" t="s">
        <v>137</v>
      </c>
      <c r="C27" s="29"/>
      <c r="D27" s="29"/>
      <c r="E27" s="29"/>
      <c r="F27" s="29"/>
    </row>
    <row r="28" spans="1:7" x14ac:dyDescent="0.2">
      <c r="A28" s="29" t="s">
        <v>143</v>
      </c>
      <c r="B28" s="24" t="s">
        <v>144</v>
      </c>
      <c r="C28" s="29"/>
      <c r="D28" s="29"/>
      <c r="E28" s="29"/>
      <c r="F28" s="29"/>
    </row>
    <row r="29" spans="1:7" x14ac:dyDescent="0.2">
      <c r="A29" s="29"/>
      <c r="C29" s="29"/>
      <c r="D29" s="29"/>
      <c r="E29" s="29"/>
      <c r="F29" s="29"/>
    </row>
    <row r="30" spans="1:7" x14ac:dyDescent="0.2">
      <c r="A30" s="29"/>
      <c r="C30" s="29"/>
      <c r="D30" s="29"/>
      <c r="E30" s="29"/>
      <c r="F30" s="29"/>
    </row>
    <row r="31" spans="1:7" x14ac:dyDescent="0.2">
      <c r="A31" s="25" t="s">
        <v>14</v>
      </c>
      <c r="B31" s="25"/>
      <c r="C31" s="25"/>
      <c r="D31" s="25"/>
      <c r="E31" s="25"/>
      <c r="F31" s="25"/>
      <c r="G31" s="25"/>
    </row>
    <row r="33" spans="1:7" s="29" customFormat="1" x14ac:dyDescent="0.2">
      <c r="A33" s="29" t="s">
        <v>25</v>
      </c>
      <c r="B33" s="29" t="s">
        <v>38</v>
      </c>
      <c r="C33" s="29" t="s">
        <v>2</v>
      </c>
      <c r="D33" s="30" t="s">
        <v>9</v>
      </c>
      <c r="E33" s="30" t="s">
        <v>3</v>
      </c>
      <c r="F33" s="30" t="s">
        <v>4</v>
      </c>
      <c r="G33" s="30" t="s">
        <v>16</v>
      </c>
    </row>
    <row r="34" spans="1:7" x14ac:dyDescent="0.2">
      <c r="A34" s="24" t="str">
        <f>MatP8815C0Colour</f>
        <v>Not Specified</v>
      </c>
      <c r="B34" s="24" t="str">
        <f>IF(MatP8815C0Code=0,"",MatP8815C0Code)</f>
        <v/>
      </c>
      <c r="C34" s="24" t="str">
        <f>MatP8815C0Desc</f>
        <v>TLE Tile</v>
      </c>
      <c r="D34" s="31">
        <v>37</v>
      </c>
      <c r="E34" s="32">
        <f>MatP8815C0Price</f>
        <v>1.2</v>
      </c>
      <c r="F34" s="33" t="str">
        <f>MatP8815C0PerText</f>
        <v>Each</v>
      </c>
      <c r="G34" s="32">
        <f t="shared" ref="G34:G49" si="0">D34 * E34</f>
        <v>44.4</v>
      </c>
    </row>
    <row r="35" spans="1:7" x14ac:dyDescent="0.2">
      <c r="A35" s="24" t="str">
        <f>MatP10135C0Colour</f>
        <v>Not Specified</v>
      </c>
      <c r="B35" s="24" t="str">
        <f>IF(MatP10135C0Code=0,"",MatP10135C0Code)</f>
        <v/>
      </c>
      <c r="C35" s="24" t="str">
        <f>MatP10135C0Desc</f>
        <v>VP300 Vapour Permeable Underlay (50m x 1m)</v>
      </c>
      <c r="D35" s="31">
        <v>0.25</v>
      </c>
      <c r="E35" s="32">
        <f>MatP10135C0Price</f>
        <v>35</v>
      </c>
      <c r="F35" s="33" t="str">
        <f>MatP10135C0PerText</f>
        <v>Roll</v>
      </c>
      <c r="G35" s="32">
        <f t="shared" si="0"/>
        <v>8.75</v>
      </c>
    </row>
    <row r="36" spans="1:7" x14ac:dyDescent="0.2">
      <c r="A36" s="24" t="str">
        <f>MatP9008C0Colour</f>
        <v>Not Specified</v>
      </c>
      <c r="B36" s="24" t="str">
        <f>IF(MatP9008C0Code=0,"",MatP9008C0Code)</f>
        <v/>
      </c>
      <c r="C36" s="24" t="str">
        <f>MatP9008C0Desc</f>
        <v>Battens (50mm x 25mm)</v>
      </c>
      <c r="D36" s="31">
        <v>11</v>
      </c>
      <c r="E36" s="32">
        <f>MatP9008C0Price</f>
        <v>0.9</v>
      </c>
      <c r="F36" s="33" t="str">
        <f>MatP9008C0PerText</f>
        <v>Metre</v>
      </c>
      <c r="G36" s="32">
        <f t="shared" si="0"/>
        <v>9.9</v>
      </c>
    </row>
    <row r="37" spans="1:7" x14ac:dyDescent="0.2">
      <c r="A37" s="24" t="str">
        <f>MatP8857C0Colour</f>
        <v>Not Specified</v>
      </c>
      <c r="B37" s="24" t="str">
        <f>IF(MatP8857C0Code=0,"",MatP8857C0Code)</f>
        <v/>
      </c>
      <c r="C37" s="24" t="str">
        <f>MatP8857C0Desc</f>
        <v>LH Uni-Fix Dry Verge Unit</v>
      </c>
      <c r="D37" s="31">
        <v>12</v>
      </c>
      <c r="E37" s="32">
        <f>MatP8857C0Price</f>
        <v>1.1000000000000001</v>
      </c>
      <c r="F37" s="33" t="str">
        <f>MatP8857C0PerText</f>
        <v>Each</v>
      </c>
      <c r="G37" s="32">
        <f t="shared" si="0"/>
        <v>13.200000000000001</v>
      </c>
    </row>
    <row r="38" spans="1:7" x14ac:dyDescent="0.2">
      <c r="A38" s="24" t="str">
        <f>MatP8869C0Colour</f>
        <v>Not Specified</v>
      </c>
      <c r="B38" s="24" t="str">
        <f>IF(MatP8869C0Code=0,"",MatP8869C0Code)</f>
        <v/>
      </c>
      <c r="C38" s="24" t="str">
        <f>MatP8869C0Desc</f>
        <v>RH Uni-Fix Dry Verge Unit</v>
      </c>
      <c r="D38" s="31">
        <v>12</v>
      </c>
      <c r="E38" s="32">
        <f>MatP8869C0Price</f>
        <v>1.1000000000000001</v>
      </c>
      <c r="F38" s="33" t="str">
        <f>MatP8869C0PerText</f>
        <v>Each</v>
      </c>
      <c r="G38" s="32">
        <f t="shared" si="0"/>
        <v>13.200000000000001</v>
      </c>
    </row>
    <row r="39" spans="1:7" x14ac:dyDescent="0.2">
      <c r="A39" s="24" t="str">
        <f>MatP8830C20Colour</f>
        <v>Not Specified</v>
      </c>
      <c r="B39" s="24" t="str">
        <f>IF(MatP8830C20Code=0,"",MatP8830C20Code)</f>
        <v/>
      </c>
      <c r="C39" s="24" t="str">
        <f>MatP8830C20Desc</f>
        <v>Dry Verge Starter Unit</v>
      </c>
      <c r="D39" s="31">
        <v>2</v>
      </c>
      <c r="E39" s="32">
        <f>MatP8830C20Price</f>
        <v>1.51</v>
      </c>
      <c r="F39" s="33" t="str">
        <f>MatP8830C20PerText</f>
        <v>Each</v>
      </c>
      <c r="G39" s="32">
        <f t="shared" si="0"/>
        <v>3.02</v>
      </c>
    </row>
    <row r="40" spans="1:7" x14ac:dyDescent="0.2">
      <c r="A40" s="24" t="str">
        <f>MatP8821C20Colour</f>
        <v>Not Specified</v>
      </c>
      <c r="B40" s="24" t="str">
        <f>IF(MatP8821C20Code=0,"",MatP8821C20Code)</f>
        <v/>
      </c>
      <c r="C40" s="24" t="str">
        <f>MatP8821C20Desc</f>
        <v>25mm Over Fascia Vent (1m)</v>
      </c>
      <c r="D40" s="31">
        <v>2</v>
      </c>
      <c r="E40" s="32">
        <f>MatP8821C20Price</f>
        <v>1.9</v>
      </c>
      <c r="F40" s="33" t="str">
        <f>MatP8821C20PerText</f>
        <v>Each</v>
      </c>
      <c r="G40" s="32">
        <f t="shared" si="0"/>
        <v>3.8</v>
      </c>
    </row>
    <row r="41" spans="1:7" x14ac:dyDescent="0.2">
      <c r="A41" s="24" t="str">
        <f>MatP8281C0Colour</f>
        <v>Not Specified</v>
      </c>
      <c r="B41" s="24" t="str">
        <f>IF(MatP8281C0Code=0,"",MatP8281C0Code)</f>
        <v/>
      </c>
      <c r="C41" s="24" t="str">
        <f>MatP8281C0Desc</f>
        <v>Generic Eave Insulation (1m)</v>
      </c>
      <c r="D41" s="31">
        <v>2</v>
      </c>
      <c r="E41" s="32">
        <f>MatP8281C0Price</f>
        <v>5</v>
      </c>
      <c r="F41" s="33" t="str">
        <f>MatP8281C0PerText</f>
        <v>Each</v>
      </c>
      <c r="G41" s="32">
        <f t="shared" si="0"/>
        <v>10</v>
      </c>
    </row>
    <row r="42" spans="1:7" x14ac:dyDescent="0.2">
      <c r="A42" s="24" t="str">
        <f>MatP8866C20Colour</f>
        <v>Not Specified</v>
      </c>
      <c r="B42" s="24" t="str">
        <f>IF(MatP8866C20Code=0,"",MatP8866C20Code)</f>
        <v/>
      </c>
      <c r="C42" s="24" t="str">
        <f>MatP8866C20Desc</f>
        <v>Rafter Roll (6m x 600mm)</v>
      </c>
      <c r="D42" s="31">
        <v>1</v>
      </c>
      <c r="E42" s="32">
        <f>MatP8866C20Price</f>
        <v>9.5</v>
      </c>
      <c r="F42" s="33" t="str">
        <f>MatP8866C20PerText</f>
        <v>Each</v>
      </c>
      <c r="G42" s="32">
        <f t="shared" si="0"/>
        <v>9.5</v>
      </c>
    </row>
    <row r="43" spans="1:7" x14ac:dyDescent="0.2">
      <c r="A43" s="24" t="str">
        <f>MatP8874C20Colour</f>
        <v>Not Specified</v>
      </c>
      <c r="B43" s="24" t="str">
        <f>IF(MatP8874C20Code=0,"",MatP8874C20Code)</f>
        <v/>
      </c>
      <c r="C43" s="24" t="str">
        <f>MatP8874C20Desc</f>
        <v>Underlay Support Tray (1.5m)</v>
      </c>
      <c r="D43" s="31">
        <v>2</v>
      </c>
      <c r="E43" s="32">
        <f>MatP8874C20Price</f>
        <v>1.5</v>
      </c>
      <c r="F43" s="33" t="str">
        <f>MatP8874C20PerText</f>
        <v>Each</v>
      </c>
      <c r="G43" s="32">
        <f t="shared" si="0"/>
        <v>3</v>
      </c>
    </row>
    <row r="44" spans="1:7" x14ac:dyDescent="0.2">
      <c r="A44" s="24" t="str">
        <f>MatP8872C539Colour</f>
        <v>Not Specified</v>
      </c>
      <c r="B44" s="24" t="str">
        <f>IF(MatP8872C539Code=0,"",MatP8872C539Code)</f>
        <v/>
      </c>
      <c r="C44" s="24" t="str">
        <f>MatP8872C539Desc</f>
        <v>Sidelock Tile Clips (TLE)</v>
      </c>
      <c r="D44" s="31">
        <v>6</v>
      </c>
      <c r="E44" s="32">
        <f>MatP8872C539Price</f>
        <v>7.0000000000000007E-2</v>
      </c>
      <c r="F44" s="33" t="str">
        <f>MatP8872C539PerText</f>
        <v>Each</v>
      </c>
      <c r="G44" s="32">
        <f t="shared" si="0"/>
        <v>0.42000000000000004</v>
      </c>
    </row>
    <row r="45" spans="1:7" x14ac:dyDescent="0.2">
      <c r="A45" s="24" t="str">
        <f>MatP8826C539Colour</f>
        <v>Not Specified</v>
      </c>
      <c r="B45" s="24" t="str">
        <f>IF(MatP8826C539Code=0,"",MatP8826C539Code)</f>
        <v/>
      </c>
      <c r="C45" s="24" t="str">
        <f>MatP8826C539Desc</f>
        <v>Metal Batten End Clips</v>
      </c>
      <c r="D45" s="31">
        <v>12</v>
      </c>
      <c r="E45" s="32">
        <f>MatP8826C539Price</f>
        <v>0.28000000000000003</v>
      </c>
      <c r="F45" s="33" t="str">
        <f>MatP8826C539PerText</f>
        <v>Each</v>
      </c>
      <c r="G45" s="32">
        <f t="shared" si="0"/>
        <v>3.3600000000000003</v>
      </c>
    </row>
    <row r="46" spans="1:7" x14ac:dyDescent="0.2">
      <c r="A46" s="24" t="str">
        <f>MatP8831C539Colour</f>
        <v>Not Specified</v>
      </c>
      <c r="B46" s="24" t="str">
        <f>IF(MatP8831C539Code=0,"",MatP8831C539Code)</f>
        <v/>
      </c>
      <c r="C46" s="24" t="str">
        <f>MatP8831C539Desc</f>
        <v>Eave Clip</v>
      </c>
      <c r="D46" s="31">
        <v>6</v>
      </c>
      <c r="E46" s="32">
        <f>MatP8831C539Price</f>
        <v>0.1</v>
      </c>
      <c r="F46" s="33" t="str">
        <f>MatP8831C539PerText</f>
        <v>Each</v>
      </c>
      <c r="G46" s="32">
        <f t="shared" si="0"/>
        <v>0.60000000000000009</v>
      </c>
    </row>
    <row r="47" spans="1:7" x14ac:dyDescent="0.2">
      <c r="A47" s="24" t="str">
        <f>MatP9318C0Colour</f>
        <v>Not Specified</v>
      </c>
      <c r="B47" s="24" t="str">
        <f>IF(MatP9318C0Code=0,"",MatP9318C0Code)</f>
        <v/>
      </c>
      <c r="C47" s="24" t="str">
        <f>MatP9318C0Desc</f>
        <v>45mm x 3.35mm Aluminium Nails</v>
      </c>
      <c r="D47" s="31">
        <v>1.0000000298023224</v>
      </c>
      <c r="E47" s="32">
        <f>MatP9318C0Price</f>
        <v>7.28</v>
      </c>
      <c r="F47" s="33" t="str">
        <f>MatP9318C0PerText</f>
        <v>Kg</v>
      </c>
      <c r="G47" s="32">
        <f t="shared" si="0"/>
        <v>7.2800002169609073</v>
      </c>
    </row>
    <row r="48" spans="1:7" x14ac:dyDescent="0.2">
      <c r="A48" s="24" t="str">
        <f>MatP9100C0Colour</f>
        <v>Not Specified</v>
      </c>
      <c r="B48" s="24" t="str">
        <f>IF(MatP9100C0Code=0,"",MatP9100C0Code)</f>
        <v/>
      </c>
      <c r="C48" s="24" t="str">
        <f>MatP9100C0Desc</f>
        <v>Batten Nails - 65mm x 3.35mm Galvanised</v>
      </c>
      <c r="D48" s="31">
        <v>1</v>
      </c>
      <c r="E48" s="32">
        <f>MatP9100C0Price</f>
        <v>4.5</v>
      </c>
      <c r="F48" s="33" t="str">
        <f>MatP9100C0PerText</f>
        <v>Kg</v>
      </c>
      <c r="G48" s="32">
        <f t="shared" si="0"/>
        <v>4.5</v>
      </c>
    </row>
    <row r="49" spans="1:7" x14ac:dyDescent="0.2">
      <c r="A49" s="24" t="str">
        <f>MatP9066C92Colour</f>
        <v>Not Specified</v>
      </c>
      <c r="B49" s="24" t="str">
        <f>IF(MatP9066C92Code=0,"",MatP9066C92Code)</f>
        <v/>
      </c>
      <c r="C49" s="24" t="str">
        <f>MatP9066C92Desc</f>
        <v>Lead Code 4 - 300mm (6m)</v>
      </c>
      <c r="D49" s="31">
        <v>3</v>
      </c>
      <c r="E49" s="32">
        <f>MatP9066C92Price</f>
        <v>15.21</v>
      </c>
      <c r="F49" s="33" t="str">
        <f>MatP9066C92PerText</f>
        <v>Metre</v>
      </c>
      <c r="G49" s="32">
        <f t="shared" si="0"/>
        <v>45.63</v>
      </c>
    </row>
    <row r="50" spans="1:7" x14ac:dyDescent="0.2">
      <c r="D50" s="31"/>
      <c r="E50" s="32"/>
      <c r="F50" s="33"/>
      <c r="G50" s="32"/>
    </row>
    <row r="51" spans="1:7" x14ac:dyDescent="0.2">
      <c r="F51" s="34" t="s">
        <v>5</v>
      </c>
      <c r="G51" s="35">
        <f>SUM(G34:G50)</f>
        <v>180.5600002169609</v>
      </c>
    </row>
    <row r="52" spans="1:7" x14ac:dyDescent="0.2">
      <c r="G52" s="34"/>
    </row>
    <row r="53" spans="1:7" x14ac:dyDescent="0.2">
      <c r="A53" s="25" t="s">
        <v>15</v>
      </c>
      <c r="B53" s="25"/>
      <c r="D53" s="25"/>
      <c r="E53" s="25"/>
      <c r="F53" s="25"/>
      <c r="G53" s="25"/>
    </row>
    <row r="55" spans="1:7" x14ac:dyDescent="0.2">
      <c r="A55" s="102" t="s">
        <v>6</v>
      </c>
      <c r="B55" s="102"/>
      <c r="C55" s="102"/>
      <c r="D55" s="34" t="s">
        <v>7</v>
      </c>
      <c r="E55" s="34" t="s">
        <v>9</v>
      </c>
      <c r="F55" s="34" t="s">
        <v>8</v>
      </c>
      <c r="G55" s="34" t="s">
        <v>16</v>
      </c>
    </row>
    <row r="56" spans="1:7" x14ac:dyDescent="0.2">
      <c r="A56" s="103" t="str">
        <f>LabP8815R6L1G1Desc</f>
        <v>Main Area</v>
      </c>
      <c r="B56" s="103"/>
      <c r="C56" s="103"/>
      <c r="D56" s="36">
        <f>LabP8815R6L1G1Rate</f>
        <v>9</v>
      </c>
      <c r="E56" s="37">
        <f>'SOU-MID-Porch (Lean to)'!Area</f>
        <v>3.11</v>
      </c>
      <c r="F56" s="27" t="str">
        <f xml:space="preserve"> "" &amp; LabP8815R6L1G1Per</f>
        <v>m²</v>
      </c>
      <c r="G56" s="36">
        <f>D56 * E56</f>
        <v>27.99</v>
      </c>
    </row>
    <row r="57" spans="1:7" x14ac:dyDescent="0.2">
      <c r="A57" s="24" t="str">
        <f>LabP8815R0L1G2Desc</f>
        <v>Eave</v>
      </c>
      <c r="D57" s="36">
        <f>LabP8815R0L1G2Rate</f>
        <v>2.5</v>
      </c>
      <c r="E57" s="37">
        <f>'SOU-MID-Porch (Lean to)'!Eave</f>
        <v>1.7</v>
      </c>
      <c r="F57" s="27" t="str">
        <f xml:space="preserve"> "" &amp; LabP8815R0L1G2Per</f>
        <v>m</v>
      </c>
      <c r="G57" s="36">
        <f>D57 * E57</f>
        <v>4.25</v>
      </c>
    </row>
    <row r="58" spans="1:7" x14ac:dyDescent="0.2">
      <c r="A58" s="24" t="str">
        <f>LabP8815R0L1G3Desc</f>
        <v>Verge</v>
      </c>
      <c r="D58" s="36">
        <f>LabP8815R0L1G3Rate</f>
        <v>2.5</v>
      </c>
      <c r="E58" s="37">
        <f>LeftVerge+RightVerge</f>
        <v>3.66</v>
      </c>
      <c r="F58" s="27" t="str">
        <f xml:space="preserve"> "" &amp; LabP8815R0L1G3Per</f>
        <v>m</v>
      </c>
      <c r="G58" s="36">
        <f>D58 * E58</f>
        <v>9.15</v>
      </c>
    </row>
    <row r="59" spans="1:7" x14ac:dyDescent="0.2">
      <c r="A59" s="24" t="str">
        <f>LabP8815R15L1G243Desc</f>
        <v>Apron Flashing (Code 4)</v>
      </c>
      <c r="D59" s="36">
        <f>LabP8815R15L1G243Rate</f>
        <v>15</v>
      </c>
      <c r="E59" s="37">
        <v>1.7</v>
      </c>
      <c r="F59" s="27" t="str">
        <f xml:space="preserve"> "" &amp; LabP8815R15L1G243Per</f>
        <v>m</v>
      </c>
      <c r="G59" s="36">
        <f>D59 * E59</f>
        <v>25.5</v>
      </c>
    </row>
    <row r="60" spans="1:7" x14ac:dyDescent="0.2">
      <c r="A60" s="24" t="str">
        <f>LabP8815R150LabLabourforPorchesDesc</f>
        <v>Labour for Porches</v>
      </c>
      <c r="D60" s="36">
        <f>LabP8815R150LabLabourforPorchesRate</f>
        <v>150</v>
      </c>
      <c r="E60" s="37">
        <v>1</v>
      </c>
      <c r="F60" s="27" t="str">
        <f xml:space="preserve"> "" &amp; LabP8815R150LabLabourforPorchesPer</f>
        <v/>
      </c>
      <c r="G60" s="36">
        <f>D60 * E60</f>
        <v>150</v>
      </c>
    </row>
    <row r="61" spans="1:7" x14ac:dyDescent="0.2">
      <c r="D61" s="36"/>
      <c r="E61" s="37"/>
      <c r="F61" s="27"/>
      <c r="G61" s="36"/>
    </row>
    <row r="62" spans="1:7" x14ac:dyDescent="0.2">
      <c r="A62" s="103"/>
      <c r="B62" s="103"/>
      <c r="C62" s="103"/>
      <c r="D62" s="36"/>
      <c r="E62" s="37"/>
      <c r="G62" s="36"/>
    </row>
    <row r="63" spans="1:7" x14ac:dyDescent="0.2">
      <c r="F63" s="34" t="s">
        <v>5</v>
      </c>
      <c r="G63" s="35">
        <f>SUM(G56:G62)</f>
        <v>216.89</v>
      </c>
    </row>
    <row r="67" spans="1:3" x14ac:dyDescent="0.2">
      <c r="A67" s="34"/>
      <c r="B67" s="38"/>
    </row>
    <row r="69" spans="1:3" x14ac:dyDescent="0.2">
      <c r="A69" s="34"/>
      <c r="B69" s="38"/>
    </row>
    <row r="71" spans="1:3" x14ac:dyDescent="0.2">
      <c r="A71" s="34"/>
      <c r="B71" s="38"/>
    </row>
    <row r="73" spans="1:3" x14ac:dyDescent="0.2">
      <c r="A73" s="34"/>
      <c r="B73" s="38"/>
    </row>
    <row r="76" spans="1:3" x14ac:dyDescent="0.2">
      <c r="A76" s="34"/>
      <c r="B76" s="38"/>
      <c r="C76" s="39"/>
    </row>
    <row r="78" spans="1:3" x14ac:dyDescent="0.2">
      <c r="A78" s="34"/>
      <c r="B78" s="38"/>
    </row>
    <row r="80" spans="1:3" x14ac:dyDescent="0.2">
      <c r="A80" s="34"/>
      <c r="B80" s="38"/>
      <c r="C80" s="39"/>
    </row>
    <row r="82" spans="1:3" x14ac:dyDescent="0.2">
      <c r="A82" s="34"/>
      <c r="B82" s="38"/>
    </row>
    <row r="84" spans="1:3" x14ac:dyDescent="0.2">
      <c r="A84" s="34"/>
      <c r="B84" s="38"/>
    </row>
    <row r="87" spans="1:3" x14ac:dyDescent="0.2">
      <c r="A87" s="34"/>
      <c r="B87" s="38"/>
    </row>
    <row r="89" spans="1:3" x14ac:dyDescent="0.2">
      <c r="A89" s="34"/>
      <c r="B89" s="38"/>
    </row>
    <row r="91" spans="1:3" x14ac:dyDescent="0.2">
      <c r="A91" s="34"/>
      <c r="B91" s="38"/>
      <c r="C91" s="39"/>
    </row>
    <row r="94" spans="1:3" x14ac:dyDescent="0.2">
      <c r="A94" s="34"/>
      <c r="B94" s="40"/>
      <c r="C94" s="23"/>
    </row>
    <row r="97" spans="1:2" x14ac:dyDescent="0.2">
      <c r="A97" s="39"/>
      <c r="B97" s="41"/>
    </row>
  </sheetData>
  <mergeCells count="5">
    <mergeCell ref="B4:F4"/>
    <mergeCell ref="B5:F5"/>
    <mergeCell ref="A55:C55"/>
    <mergeCell ref="A56:C56"/>
    <mergeCell ref="A62:C62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45E8-931B-46E4-95A9-C98ADB5827E1}">
  <dimension ref="A1:G119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216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139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102.02</v>
      </c>
      <c r="C9" s="23"/>
      <c r="D9" s="26"/>
    </row>
    <row r="10" spans="1:7" x14ac:dyDescent="0.2">
      <c r="A10" s="23" t="s">
        <v>114</v>
      </c>
      <c r="B10" s="24">
        <v>23.4</v>
      </c>
      <c r="C10" s="23"/>
      <c r="D10" s="26"/>
    </row>
    <row r="11" spans="1:7" x14ac:dyDescent="0.2">
      <c r="A11" s="23" t="s">
        <v>141</v>
      </c>
      <c r="B11" s="24">
        <v>3.4</v>
      </c>
      <c r="C11" s="23"/>
      <c r="D11" s="26"/>
    </row>
    <row r="12" spans="1:7" x14ac:dyDescent="0.2">
      <c r="A12" s="23" t="s">
        <v>115</v>
      </c>
      <c r="B12" s="24">
        <v>14.66</v>
      </c>
      <c r="C12" s="23"/>
      <c r="D12" s="26"/>
    </row>
    <row r="13" spans="1:7" x14ac:dyDescent="0.2">
      <c r="A13" s="23" t="s">
        <v>116</v>
      </c>
      <c r="B13" s="24">
        <v>14.66</v>
      </c>
      <c r="C13" s="23"/>
      <c r="D13" s="26"/>
    </row>
    <row r="14" spans="1:7" x14ac:dyDescent="0.2">
      <c r="A14" s="23" t="s">
        <v>158</v>
      </c>
      <c r="B14" s="24">
        <v>7.68</v>
      </c>
      <c r="C14" s="23"/>
      <c r="D14" s="26"/>
    </row>
    <row r="15" spans="1:7" x14ac:dyDescent="0.2">
      <c r="A15" s="23" t="s">
        <v>117</v>
      </c>
      <c r="B15" s="24">
        <v>14.3</v>
      </c>
      <c r="C15" s="23"/>
      <c r="D15" s="26"/>
    </row>
    <row r="16" spans="1:7" x14ac:dyDescent="0.2">
      <c r="A16" s="23" t="s">
        <v>153</v>
      </c>
      <c r="B16" s="24">
        <v>8.56</v>
      </c>
      <c r="C16" s="23"/>
      <c r="D16" s="26"/>
    </row>
    <row r="17" spans="1:7" x14ac:dyDescent="0.2">
      <c r="A17" s="23" t="s">
        <v>118</v>
      </c>
      <c r="B17" s="24">
        <v>11.84</v>
      </c>
      <c r="C17" s="23"/>
      <c r="D17" s="26"/>
    </row>
    <row r="18" spans="1:7" x14ac:dyDescent="0.2">
      <c r="A18" s="23" t="s">
        <v>119</v>
      </c>
      <c r="B18" s="24">
        <v>600</v>
      </c>
      <c r="C18" s="23"/>
      <c r="D18" s="26"/>
    </row>
    <row r="19" spans="1:7" x14ac:dyDescent="0.2">
      <c r="A19" s="23" t="s">
        <v>120</v>
      </c>
      <c r="B19" s="24" t="s">
        <v>208</v>
      </c>
      <c r="C19" s="23"/>
      <c r="D19" s="26"/>
    </row>
    <row r="20" spans="1:7" x14ac:dyDescent="0.2">
      <c r="A20" s="23"/>
      <c r="C20" s="23"/>
      <c r="D20" s="26"/>
    </row>
    <row r="21" spans="1:7" x14ac:dyDescent="0.2">
      <c r="A21" s="23"/>
      <c r="B21" s="27"/>
      <c r="C21" s="23"/>
      <c r="D21" s="26"/>
    </row>
    <row r="22" spans="1:7" x14ac:dyDescent="0.2">
      <c r="A22" s="28" t="s">
        <v>10</v>
      </c>
      <c r="B22" s="28"/>
      <c r="C22" s="28"/>
      <c r="D22" s="28"/>
      <c r="E22" s="28"/>
      <c r="F22" s="28"/>
      <c r="G22" s="28"/>
    </row>
    <row r="23" spans="1:7" x14ac:dyDescent="0.2">
      <c r="A23" s="28"/>
      <c r="B23" s="28"/>
      <c r="C23" s="28"/>
      <c r="D23" s="28"/>
      <c r="E23" s="28"/>
      <c r="F23" s="28"/>
      <c r="G23" s="28"/>
    </row>
    <row r="24" spans="1:7" x14ac:dyDescent="0.2">
      <c r="A24" s="29" t="s">
        <v>121</v>
      </c>
      <c r="B24" s="24" t="s">
        <v>122</v>
      </c>
      <c r="C24" s="29"/>
      <c r="D24" s="29"/>
      <c r="E24" s="29"/>
      <c r="F24" s="29"/>
    </row>
    <row r="25" spans="1:7" x14ac:dyDescent="0.2">
      <c r="A25" s="29" t="s">
        <v>123</v>
      </c>
      <c r="B25" s="24" t="s">
        <v>124</v>
      </c>
      <c r="C25" s="29"/>
      <c r="D25" s="29"/>
      <c r="E25" s="29"/>
      <c r="F25" s="29"/>
    </row>
    <row r="26" spans="1:7" x14ac:dyDescent="0.2">
      <c r="A26" s="29"/>
      <c r="B26" s="24" t="s">
        <v>125</v>
      </c>
      <c r="C26" s="29"/>
      <c r="D26" s="29"/>
      <c r="E26" s="29"/>
      <c r="F26" s="29"/>
    </row>
    <row r="27" spans="1:7" x14ac:dyDescent="0.2">
      <c r="A27" s="29" t="s">
        <v>126</v>
      </c>
      <c r="B27" s="24" t="s">
        <v>127</v>
      </c>
      <c r="C27" s="29"/>
      <c r="D27" s="29"/>
      <c r="E27" s="29"/>
      <c r="F27" s="29"/>
    </row>
    <row r="28" spans="1:7" x14ac:dyDescent="0.2">
      <c r="A28" s="29"/>
      <c r="B28" s="24" t="s">
        <v>142</v>
      </c>
      <c r="C28" s="29"/>
      <c r="D28" s="29"/>
      <c r="E28" s="29"/>
      <c r="F28" s="29"/>
    </row>
    <row r="29" spans="1:7" x14ac:dyDescent="0.2">
      <c r="A29" s="29" t="s">
        <v>129</v>
      </c>
      <c r="B29" s="24" t="s">
        <v>130</v>
      </c>
      <c r="C29" s="29"/>
      <c r="D29" s="29"/>
      <c r="E29" s="29"/>
      <c r="F29" s="29"/>
    </row>
    <row r="30" spans="1:7" x14ac:dyDescent="0.2">
      <c r="A30" s="29"/>
      <c r="B30" s="24" t="s">
        <v>215</v>
      </c>
      <c r="C30" s="29"/>
      <c r="D30" s="29"/>
      <c r="E30" s="29"/>
      <c r="F30" s="29"/>
    </row>
    <row r="31" spans="1:7" x14ac:dyDescent="0.2">
      <c r="A31" s="29" t="s">
        <v>160</v>
      </c>
      <c r="B31" s="24" t="s">
        <v>161</v>
      </c>
      <c r="C31" s="29"/>
      <c r="D31" s="29"/>
      <c r="E31" s="29"/>
      <c r="F31" s="29"/>
    </row>
    <row r="32" spans="1:7" x14ac:dyDescent="0.2">
      <c r="A32" s="29" t="s">
        <v>132</v>
      </c>
      <c r="B32" s="24" t="s">
        <v>133</v>
      </c>
      <c r="C32" s="29"/>
      <c r="D32" s="29"/>
      <c r="E32" s="29"/>
      <c r="F32" s="29"/>
    </row>
    <row r="33" spans="1:7" x14ac:dyDescent="0.2">
      <c r="A33" s="29" t="s">
        <v>134</v>
      </c>
      <c r="B33" s="24" t="s">
        <v>135</v>
      </c>
      <c r="C33" s="29"/>
      <c r="D33" s="29"/>
      <c r="E33" s="29"/>
      <c r="F33" s="29"/>
    </row>
    <row r="34" spans="1:7" x14ac:dyDescent="0.2">
      <c r="A34" s="29" t="s">
        <v>136</v>
      </c>
      <c r="B34" s="24" t="s">
        <v>137</v>
      </c>
      <c r="C34" s="29"/>
      <c r="D34" s="29"/>
      <c r="E34" s="29"/>
      <c r="F34" s="29"/>
    </row>
    <row r="35" spans="1:7" x14ac:dyDescent="0.2">
      <c r="A35" s="29"/>
      <c r="B35" s="24" t="s">
        <v>162</v>
      </c>
      <c r="C35" s="29"/>
      <c r="D35" s="29"/>
      <c r="E35" s="29"/>
      <c r="F35" s="29"/>
    </row>
    <row r="36" spans="1:7" x14ac:dyDescent="0.2">
      <c r="A36" s="29" t="s">
        <v>143</v>
      </c>
      <c r="B36" s="24" t="s">
        <v>144</v>
      </c>
      <c r="C36" s="29"/>
      <c r="D36" s="29"/>
      <c r="E36" s="29"/>
      <c r="F36" s="29"/>
    </row>
    <row r="37" spans="1:7" x14ac:dyDescent="0.2">
      <c r="A37" s="29"/>
      <c r="B37" s="24" t="s">
        <v>155</v>
      </c>
      <c r="C37" s="29"/>
      <c r="D37" s="29"/>
      <c r="E37" s="29"/>
      <c r="F37" s="29"/>
    </row>
    <row r="38" spans="1:7" x14ac:dyDescent="0.2">
      <c r="A38" s="29"/>
      <c r="C38" s="29"/>
      <c r="D38" s="29"/>
      <c r="E38" s="29"/>
      <c r="F38" s="29"/>
    </row>
    <row r="39" spans="1:7" x14ac:dyDescent="0.2">
      <c r="A39" s="29"/>
      <c r="C39" s="29"/>
      <c r="D39" s="29"/>
      <c r="E39" s="29"/>
      <c r="F39" s="29"/>
    </row>
    <row r="40" spans="1:7" x14ac:dyDescent="0.2">
      <c r="A40" s="25" t="s">
        <v>14</v>
      </c>
      <c r="B40" s="25"/>
      <c r="C40" s="25"/>
      <c r="D40" s="25"/>
      <c r="E40" s="25"/>
      <c r="F40" s="25"/>
      <c r="G40" s="25"/>
    </row>
    <row r="42" spans="1:7" s="29" customFormat="1" x14ac:dyDescent="0.2">
      <c r="A42" s="29" t="s">
        <v>25</v>
      </c>
      <c r="B42" s="29" t="s">
        <v>38</v>
      </c>
      <c r="C42" s="29" t="s">
        <v>2</v>
      </c>
      <c r="D42" s="30" t="s">
        <v>9</v>
      </c>
      <c r="E42" s="30" t="s">
        <v>3</v>
      </c>
      <c r="F42" s="30" t="s">
        <v>4</v>
      </c>
      <c r="G42" s="30" t="s">
        <v>16</v>
      </c>
    </row>
    <row r="43" spans="1:7" x14ac:dyDescent="0.2">
      <c r="A43" s="24" t="str">
        <f>MatP8815C0Colour</f>
        <v>Not Specified</v>
      </c>
      <c r="B43" s="24" t="str">
        <f>IF(MatP8815C0Code=0,"",MatP8815C0Code)</f>
        <v/>
      </c>
      <c r="C43" s="24" t="str">
        <f>MatP8815C0Desc</f>
        <v>TLE Tile</v>
      </c>
      <c r="D43" s="31">
        <v>1055</v>
      </c>
      <c r="E43" s="32">
        <f>MatP8815C0Price</f>
        <v>1.2</v>
      </c>
      <c r="F43" s="33" t="str">
        <f>MatP8815C0PerText</f>
        <v>Each</v>
      </c>
      <c r="G43" s="32">
        <f t="shared" ref="G43:G64" si="0">D43 * E43</f>
        <v>1266</v>
      </c>
    </row>
    <row r="44" spans="1:7" x14ac:dyDescent="0.2">
      <c r="A44" s="24" t="str">
        <f>MatP8870C0Colour</f>
        <v>Not Specified</v>
      </c>
      <c r="B44" s="24" t="str">
        <f>IF(MatP8870C0Code=0,"",MatP8870C0Code)</f>
        <v/>
      </c>
      <c r="C44" s="24" t="str">
        <f>MatP8870C0Desc</f>
        <v>Ridge Tile (450mm)</v>
      </c>
      <c r="D44" s="31">
        <v>33</v>
      </c>
      <c r="E44" s="32">
        <f>MatP8870C0Price</f>
        <v>3.64</v>
      </c>
      <c r="F44" s="33" t="str">
        <f>MatP8870C0PerText</f>
        <v>Each</v>
      </c>
      <c r="G44" s="32">
        <f t="shared" si="0"/>
        <v>120.12</v>
      </c>
    </row>
    <row r="45" spans="1:7" x14ac:dyDescent="0.2">
      <c r="A45" s="24" t="str">
        <f>MatP10135C0Colour</f>
        <v>Not Specified</v>
      </c>
      <c r="B45" s="24" t="str">
        <f>IF(MatP10135C0Code=0,"",MatP10135C0Code)</f>
        <v/>
      </c>
      <c r="C45" s="24" t="str">
        <f>MatP10135C0Desc</f>
        <v>VP300 Vapour Permeable Underlay (50m x 1m)</v>
      </c>
      <c r="D45" s="31">
        <v>2.9999999403953552</v>
      </c>
      <c r="E45" s="32">
        <f>MatP10135C0Price</f>
        <v>35</v>
      </c>
      <c r="F45" s="33" t="str">
        <f>MatP10135C0PerText</f>
        <v>Roll</v>
      </c>
      <c r="G45" s="32">
        <f t="shared" si="0"/>
        <v>104.99999791383743</v>
      </c>
    </row>
    <row r="46" spans="1:7" x14ac:dyDescent="0.2">
      <c r="A46" s="24" t="str">
        <f>MatP9008C0Colour</f>
        <v>Not Specified</v>
      </c>
      <c r="B46" s="24" t="str">
        <f>IF(MatP9008C0Code=0,"",MatP9008C0Code)</f>
        <v/>
      </c>
      <c r="C46" s="24" t="str">
        <f>MatP9008C0Desc</f>
        <v>Battens (50mm x 25mm)</v>
      </c>
      <c r="D46" s="31">
        <v>375</v>
      </c>
      <c r="E46" s="32">
        <f>MatP9008C0Price</f>
        <v>0.9</v>
      </c>
      <c r="F46" s="33" t="str">
        <f>MatP9008C0PerText</f>
        <v>Metre</v>
      </c>
      <c r="G46" s="32">
        <f t="shared" si="0"/>
        <v>337.5</v>
      </c>
    </row>
    <row r="47" spans="1:7" x14ac:dyDescent="0.2">
      <c r="A47" s="24" t="str">
        <f>MatP8879C15Colour</f>
        <v>Not Specified</v>
      </c>
      <c r="B47" s="24" t="str">
        <f>IF(MatP8879C15Code=0,"",MatP8879C15Code)</f>
        <v/>
      </c>
      <c r="C47" s="24" t="str">
        <f>MatP8879C15Desc</f>
        <v>Universal Dry Ridge/Hip System (6m)</v>
      </c>
      <c r="D47" s="31">
        <v>3</v>
      </c>
      <c r="E47" s="32">
        <f>MatP8879C15Price</f>
        <v>28.09</v>
      </c>
      <c r="F47" s="33" t="str">
        <f>MatP8879C15PerText</f>
        <v>Pack</v>
      </c>
      <c r="G47" s="32">
        <f t="shared" si="0"/>
        <v>84.27</v>
      </c>
    </row>
    <row r="48" spans="1:7" x14ac:dyDescent="0.2">
      <c r="A48" s="24" t="str">
        <f>MatP8857C0Colour</f>
        <v>Not Specified</v>
      </c>
      <c r="B48" s="24" t="str">
        <f>IF(MatP8857C0Code=0,"",MatP8857C0Code)</f>
        <v/>
      </c>
      <c r="C48" s="24" t="str">
        <f>MatP8857C0Desc</f>
        <v>LH Uni-Fix Dry Verge Unit</v>
      </c>
      <c r="D48" s="31">
        <v>92</v>
      </c>
      <c r="E48" s="32">
        <f>MatP8857C0Price</f>
        <v>1.1000000000000001</v>
      </c>
      <c r="F48" s="33" t="str">
        <f>MatP8857C0PerText</f>
        <v>Each</v>
      </c>
      <c r="G48" s="32">
        <f t="shared" si="0"/>
        <v>101.2</v>
      </c>
    </row>
    <row r="49" spans="1:7" x14ac:dyDescent="0.2">
      <c r="A49" s="24" t="str">
        <f>MatP8869C0Colour</f>
        <v>Not Specified</v>
      </c>
      <c r="B49" s="24" t="str">
        <f>IF(MatP8869C0Code=0,"",MatP8869C0Code)</f>
        <v/>
      </c>
      <c r="C49" s="24" t="str">
        <f>MatP8869C0Desc</f>
        <v>RH Uni-Fix Dry Verge Unit</v>
      </c>
      <c r="D49" s="31">
        <v>92</v>
      </c>
      <c r="E49" s="32">
        <f>MatP8869C0Price</f>
        <v>1.1000000000000001</v>
      </c>
      <c r="F49" s="33" t="str">
        <f>MatP8869C0PerText</f>
        <v>Each</v>
      </c>
      <c r="G49" s="32">
        <f t="shared" si="0"/>
        <v>101.2</v>
      </c>
    </row>
    <row r="50" spans="1:7" x14ac:dyDescent="0.2">
      <c r="A50" s="24" t="str">
        <f>MatP8877C0Colour</f>
        <v>Not Specified</v>
      </c>
      <c r="B50" s="24" t="str">
        <f>IF(MatP8877C0Code=0,"",MatP8877C0Code)</f>
        <v/>
      </c>
      <c r="C50" s="24" t="str">
        <f>MatP8877C0Desc</f>
        <v>Uni-Fix Universal Ridge End Cap</v>
      </c>
      <c r="D50" s="31">
        <v>4</v>
      </c>
      <c r="E50" s="32">
        <f>MatP8877C0Price</f>
        <v>1.6</v>
      </c>
      <c r="F50" s="33" t="str">
        <f>MatP8877C0PerText</f>
        <v>Each</v>
      </c>
      <c r="G50" s="32">
        <f t="shared" si="0"/>
        <v>6.4</v>
      </c>
    </row>
    <row r="51" spans="1:7" x14ac:dyDescent="0.2">
      <c r="A51" s="24" t="str">
        <f>MatP8830C20Colour</f>
        <v>Not Specified</v>
      </c>
      <c r="B51" s="24" t="str">
        <f>IF(MatP8830C20Code=0,"",MatP8830C20Code)</f>
        <v/>
      </c>
      <c r="C51" s="24" t="str">
        <f>MatP8830C20Desc</f>
        <v>Dry Verge Starter Unit</v>
      </c>
      <c r="D51" s="31">
        <v>8</v>
      </c>
      <c r="E51" s="32">
        <f>MatP8830C20Price</f>
        <v>1.51</v>
      </c>
      <c r="F51" s="33" t="str">
        <f>MatP8830C20PerText</f>
        <v>Each</v>
      </c>
      <c r="G51" s="32">
        <f t="shared" si="0"/>
        <v>12.08</v>
      </c>
    </row>
    <row r="52" spans="1:7" x14ac:dyDescent="0.2">
      <c r="A52" s="24" t="str">
        <f>MatP8821C20Colour</f>
        <v>Not Specified</v>
      </c>
      <c r="B52" s="24" t="str">
        <f>IF(MatP8821C20Code=0,"",MatP8821C20Code)</f>
        <v/>
      </c>
      <c r="C52" s="24" t="str">
        <f>MatP8821C20Desc</f>
        <v>25mm Over Fascia Vent (1m)</v>
      </c>
      <c r="D52" s="31">
        <v>24</v>
      </c>
      <c r="E52" s="32">
        <f>MatP8821C20Price</f>
        <v>1.9</v>
      </c>
      <c r="F52" s="33" t="str">
        <f>MatP8821C20PerText</f>
        <v>Each</v>
      </c>
      <c r="G52" s="32">
        <f t="shared" si="0"/>
        <v>45.599999999999994</v>
      </c>
    </row>
    <row r="53" spans="1:7" x14ac:dyDescent="0.2">
      <c r="A53" s="24" t="str">
        <f>MatP8281C0Colour</f>
        <v>Not Specified</v>
      </c>
      <c r="B53" s="24" t="str">
        <f>IF(MatP8281C0Code=0,"",MatP8281C0Code)</f>
        <v/>
      </c>
      <c r="C53" s="24" t="str">
        <f>MatP8281C0Desc</f>
        <v>Generic Eave Insulation (1m)</v>
      </c>
      <c r="D53" s="31">
        <v>24</v>
      </c>
      <c r="E53" s="32">
        <f>MatP8281C0Price</f>
        <v>5</v>
      </c>
      <c r="F53" s="33" t="str">
        <f>MatP8281C0PerText</f>
        <v>Each</v>
      </c>
      <c r="G53" s="32">
        <f t="shared" si="0"/>
        <v>120</v>
      </c>
    </row>
    <row r="54" spans="1:7" x14ac:dyDescent="0.2">
      <c r="A54" s="24" t="str">
        <f>MatP8624C0Colour</f>
        <v>Not Specified</v>
      </c>
      <c r="B54" s="24" t="str">
        <f>IF(MatP8624C0Code=0,"",MatP8624C0Code)</f>
        <v/>
      </c>
      <c r="C54" s="24" t="str">
        <f>MatP8624C0Desc</f>
        <v>Generic Party Wall Insulation (1m)</v>
      </c>
      <c r="D54" s="31">
        <v>12</v>
      </c>
      <c r="E54" s="32">
        <f>MatP8624C0Price</f>
        <v>5</v>
      </c>
      <c r="F54" s="33" t="str">
        <f>MatP8624C0PerText</f>
        <v>Each</v>
      </c>
      <c r="G54" s="32">
        <f t="shared" si="0"/>
        <v>60</v>
      </c>
    </row>
    <row r="55" spans="1:7" x14ac:dyDescent="0.2">
      <c r="A55" s="24" t="str">
        <f>MatP8866C20Colour</f>
        <v>Not Specified</v>
      </c>
      <c r="B55" s="24" t="str">
        <f>IF(MatP8866C20Code=0,"",MatP8866C20Code)</f>
        <v/>
      </c>
      <c r="C55" s="24" t="str">
        <f>MatP8866C20Desc</f>
        <v>Rafter Roll (6m x 600mm)</v>
      </c>
      <c r="D55" s="31">
        <v>4</v>
      </c>
      <c r="E55" s="32">
        <f>MatP8866C20Price</f>
        <v>9.5</v>
      </c>
      <c r="F55" s="33" t="str">
        <f>MatP8866C20PerText</f>
        <v>Each</v>
      </c>
      <c r="G55" s="32">
        <f t="shared" si="0"/>
        <v>38</v>
      </c>
    </row>
    <row r="56" spans="1:7" x14ac:dyDescent="0.2">
      <c r="A56" s="24" t="str">
        <f>MatP8874C20Colour</f>
        <v>Not Specified</v>
      </c>
      <c r="B56" s="24" t="str">
        <f>IF(MatP8874C20Code=0,"",MatP8874C20Code)</f>
        <v/>
      </c>
      <c r="C56" s="24" t="str">
        <f>MatP8874C20Desc</f>
        <v>Underlay Support Tray (1.5m)</v>
      </c>
      <c r="D56" s="31">
        <v>16</v>
      </c>
      <c r="E56" s="32">
        <f>MatP8874C20Price</f>
        <v>1.5</v>
      </c>
      <c r="F56" s="33" t="str">
        <f>MatP8874C20PerText</f>
        <v>Each</v>
      </c>
      <c r="G56" s="32">
        <f t="shared" si="0"/>
        <v>24</v>
      </c>
    </row>
    <row r="57" spans="1:7" x14ac:dyDescent="0.2">
      <c r="A57" s="24" t="str">
        <f>MatP8838C92Colour</f>
        <v>Not Specified</v>
      </c>
      <c r="B57" s="24" t="str">
        <f>IF(MatP8838C92Code=0,"",MatP8838C92Code)</f>
        <v/>
      </c>
      <c r="C57" s="24" t="str">
        <f>MatP8838C92Desc</f>
        <v>GRP Dry Fix Valley Trough - Over Batten Fix (3m x 400mm x 70mm)</v>
      </c>
      <c r="D57" s="31">
        <v>4</v>
      </c>
      <c r="E57" s="32">
        <f>MatP8838C92Price</f>
        <v>32.5</v>
      </c>
      <c r="F57" s="33" t="str">
        <f>MatP8838C92PerText</f>
        <v>Each</v>
      </c>
      <c r="G57" s="32">
        <f t="shared" si="0"/>
        <v>130</v>
      </c>
    </row>
    <row r="58" spans="1:7" x14ac:dyDescent="0.2">
      <c r="A58" s="24" t="str">
        <f>MatP8872C539Colour</f>
        <v>Not Specified</v>
      </c>
      <c r="B58" s="24" t="str">
        <f>IF(MatP8872C539Code=0,"",MatP8872C539Code)</f>
        <v/>
      </c>
      <c r="C58" s="24" t="str">
        <f>MatP8872C539Desc</f>
        <v>Sidelock Tile Clips (TLE)</v>
      </c>
      <c r="D58" s="31">
        <v>340</v>
      </c>
      <c r="E58" s="32">
        <f>MatP8872C539Price</f>
        <v>7.0000000000000007E-2</v>
      </c>
      <c r="F58" s="33" t="str">
        <f>MatP8872C539PerText</f>
        <v>Each</v>
      </c>
      <c r="G58" s="32">
        <f t="shared" si="0"/>
        <v>23.8</v>
      </c>
    </row>
    <row r="59" spans="1:7" x14ac:dyDescent="0.2">
      <c r="A59" s="24" t="str">
        <f>MatP8826C539Colour</f>
        <v>Not Specified</v>
      </c>
      <c r="B59" s="24" t="str">
        <f>IF(MatP8826C539Code=0,"",MatP8826C539Code)</f>
        <v/>
      </c>
      <c r="C59" s="24" t="str">
        <f>MatP8826C539Desc</f>
        <v>Metal Batten End Clips</v>
      </c>
      <c r="D59" s="31">
        <v>92</v>
      </c>
      <c r="E59" s="32">
        <f>MatP8826C539Price</f>
        <v>0.28000000000000003</v>
      </c>
      <c r="F59" s="33" t="str">
        <f>MatP8826C539PerText</f>
        <v>Each</v>
      </c>
      <c r="G59" s="32">
        <f t="shared" si="0"/>
        <v>25.76</v>
      </c>
    </row>
    <row r="60" spans="1:7" x14ac:dyDescent="0.2">
      <c r="A60" s="24" t="str">
        <f>MatP8831C539Colour</f>
        <v>Not Specified</v>
      </c>
      <c r="B60" s="24" t="str">
        <f>IF(MatP8831C539Code=0,"",MatP8831C539Code)</f>
        <v/>
      </c>
      <c r="C60" s="24" t="str">
        <f>MatP8831C539Desc</f>
        <v>Eave Clip</v>
      </c>
      <c r="D60" s="31">
        <v>80</v>
      </c>
      <c r="E60" s="32">
        <f>MatP8831C539Price</f>
        <v>0.1</v>
      </c>
      <c r="F60" s="33" t="str">
        <f>MatP8831C539PerText</f>
        <v>Each</v>
      </c>
      <c r="G60" s="32">
        <f t="shared" si="0"/>
        <v>8</v>
      </c>
    </row>
    <row r="61" spans="1:7" x14ac:dyDescent="0.2">
      <c r="A61" s="24" t="str">
        <f>MatP9318C0Colour</f>
        <v>Not Specified</v>
      </c>
      <c r="B61" s="24" t="str">
        <f>IF(MatP9318C0Code=0,"",MatP9318C0Code)</f>
        <v/>
      </c>
      <c r="C61" s="24" t="str">
        <f>MatP9318C0Desc</f>
        <v>45mm x 3.35mm Aluminium Nails</v>
      </c>
      <c r="D61" s="31">
        <v>3</v>
      </c>
      <c r="E61" s="32">
        <f>MatP9318C0Price</f>
        <v>7.28</v>
      </c>
      <c r="F61" s="33" t="str">
        <f>MatP9318C0PerText</f>
        <v>Kg</v>
      </c>
      <c r="G61" s="32">
        <f t="shared" si="0"/>
        <v>21.84</v>
      </c>
    </row>
    <row r="62" spans="1:7" x14ac:dyDescent="0.2">
      <c r="A62" s="24" t="str">
        <f>MatP9100C0Colour</f>
        <v>Not Specified</v>
      </c>
      <c r="B62" s="24" t="str">
        <f>IF(MatP9100C0Code=0,"",MatP9100C0Code)</f>
        <v/>
      </c>
      <c r="C62" s="24" t="str">
        <f>MatP9100C0Desc</f>
        <v>Batten Nails - 65mm x 3.35mm Galvanised</v>
      </c>
      <c r="D62" s="31">
        <v>3</v>
      </c>
      <c r="E62" s="32">
        <f>MatP9100C0Price</f>
        <v>4.5</v>
      </c>
      <c r="F62" s="33" t="str">
        <f>MatP9100C0PerText</f>
        <v>Kg</v>
      </c>
      <c r="G62" s="32">
        <f t="shared" si="0"/>
        <v>13.5</v>
      </c>
    </row>
    <row r="63" spans="1:7" x14ac:dyDescent="0.2">
      <c r="A63" s="24" t="str">
        <f>MatP9066C92Colour</f>
        <v>Not Specified</v>
      </c>
      <c r="B63" s="24" t="str">
        <f>IF(MatP9066C92Code=0,"",MatP9066C92Code)</f>
        <v/>
      </c>
      <c r="C63" s="24" t="str">
        <f>MatP9066C92Desc</f>
        <v>Lead Code 4 - 300mm (6m)</v>
      </c>
      <c r="D63" s="31">
        <v>15</v>
      </c>
      <c r="E63" s="32">
        <f>MatP9066C92Price</f>
        <v>15.21</v>
      </c>
      <c r="F63" s="33" t="str">
        <f>MatP9066C92PerText</f>
        <v>Metre</v>
      </c>
      <c r="G63" s="32">
        <f t="shared" si="0"/>
        <v>228.15</v>
      </c>
    </row>
    <row r="64" spans="1:7" x14ac:dyDescent="0.2">
      <c r="A64" s="24" t="str">
        <f>MatLeadValleySaddleColour</f>
        <v>Not Specified</v>
      </c>
      <c r="B64" s="24" t="str">
        <f>IF(MatLeadValleySaddleCode=0,"",MatLeadValleySaddleCode)</f>
        <v/>
      </c>
      <c r="C64" s="24" t="str">
        <f>MatLeadValleySaddleDesc</f>
        <v>Lead Valley Saddle</v>
      </c>
      <c r="D64" s="31">
        <v>2</v>
      </c>
      <c r="E64" s="32">
        <f>MatLeadValleySaddlePrice</f>
        <v>15</v>
      </c>
      <c r="F64" s="33" t="str">
        <f>MatLeadValleySaddlePerText</f>
        <v>Each</v>
      </c>
      <c r="G64" s="32">
        <f t="shared" si="0"/>
        <v>30</v>
      </c>
    </row>
    <row r="65" spans="1:7" x14ac:dyDescent="0.2">
      <c r="D65" s="31"/>
      <c r="E65" s="32"/>
      <c r="F65" s="33"/>
      <c r="G65" s="32"/>
    </row>
    <row r="66" spans="1:7" x14ac:dyDescent="0.2">
      <c r="F66" s="34" t="s">
        <v>5</v>
      </c>
      <c r="G66" s="35">
        <f>SUM(G43:G65)</f>
        <v>2902.419997913838</v>
      </c>
    </row>
    <row r="67" spans="1:7" x14ac:dyDescent="0.2">
      <c r="G67" s="34"/>
    </row>
    <row r="68" spans="1:7" x14ac:dyDescent="0.2">
      <c r="A68" s="25" t="s">
        <v>15</v>
      </c>
      <c r="B68" s="25"/>
      <c r="D68" s="25"/>
      <c r="E68" s="25"/>
      <c r="F68" s="25"/>
      <c r="G68" s="25"/>
    </row>
    <row r="70" spans="1:7" x14ac:dyDescent="0.2">
      <c r="A70" s="102" t="s">
        <v>6</v>
      </c>
      <c r="B70" s="102"/>
      <c r="C70" s="102"/>
      <c r="D70" s="34" t="s">
        <v>7</v>
      </c>
      <c r="E70" s="34" t="s">
        <v>9</v>
      </c>
      <c r="F70" s="34" t="s">
        <v>8</v>
      </c>
      <c r="G70" s="34" t="s">
        <v>16</v>
      </c>
    </row>
    <row r="71" spans="1:7" x14ac:dyDescent="0.2">
      <c r="A71" s="103" t="str">
        <f>LabP8815R6L1G1Desc</f>
        <v>Main Area</v>
      </c>
      <c r="B71" s="103"/>
      <c r="C71" s="103"/>
      <c r="D71" s="36">
        <f>LabP8815R6L1G1Rate</f>
        <v>9</v>
      </c>
      <c r="E71" s="37">
        <f>'SOU-SMI-Main Roof'!Area</f>
        <v>102.02</v>
      </c>
      <c r="F71" s="27" t="str">
        <f xml:space="preserve"> "" &amp; LabP8815R6L1G1Per</f>
        <v>m²</v>
      </c>
      <c r="G71" s="36">
        <f t="shared" ref="G71:G82" si="1">D71 * E71</f>
        <v>918.18</v>
      </c>
    </row>
    <row r="72" spans="1:7" x14ac:dyDescent="0.2">
      <c r="A72" s="24" t="str">
        <f>LabP8815R0L1G2Desc</f>
        <v>Eave</v>
      </c>
      <c r="D72" s="36">
        <f>LabP8815R0L1G2Rate</f>
        <v>2.5</v>
      </c>
      <c r="E72" s="37">
        <f>'SOU-SMI-Main Roof'!Eave</f>
        <v>23.4</v>
      </c>
      <c r="F72" s="27" t="str">
        <f xml:space="preserve"> "" &amp; LabP8815R0L1G2Per</f>
        <v>m</v>
      </c>
      <c r="G72" s="36">
        <f t="shared" si="1"/>
        <v>58.5</v>
      </c>
    </row>
    <row r="73" spans="1:7" x14ac:dyDescent="0.2">
      <c r="A73" s="24" t="str">
        <f>LabP8815R0L1G3Desc</f>
        <v>Verge</v>
      </c>
      <c r="D73" s="36">
        <f>LabP8815R0L1G3Rate</f>
        <v>2.5</v>
      </c>
      <c r="E73" s="37">
        <f>LeftVerge+RightVerge</f>
        <v>29.32</v>
      </c>
      <c r="F73" s="27" t="str">
        <f xml:space="preserve"> "" &amp; LabP8815R0L1G3Per</f>
        <v>m</v>
      </c>
      <c r="G73" s="36">
        <f t="shared" si="1"/>
        <v>73.3</v>
      </c>
    </row>
    <row r="74" spans="1:7" x14ac:dyDescent="0.2">
      <c r="A74" s="24" t="str">
        <f>LabP8815R15L1G7Desc</f>
        <v>Valley</v>
      </c>
      <c r="D74" s="36">
        <f>LabP8815R15L1G7Rate</f>
        <v>15</v>
      </c>
      <c r="E74" s="37">
        <f>'SOU-SMI-Main Roof'!Valley</f>
        <v>7.68</v>
      </c>
      <c r="F74" s="27" t="str">
        <f xml:space="preserve"> "" &amp; LabP8815R15L1G7Per</f>
        <v>m</v>
      </c>
      <c r="G74" s="36">
        <f t="shared" si="1"/>
        <v>115.19999999999999</v>
      </c>
    </row>
    <row r="75" spans="1:7" x14ac:dyDescent="0.2">
      <c r="A75" s="24" t="str">
        <f>LabP8815R0L1G8Desc</f>
        <v>Duo Ridge</v>
      </c>
      <c r="D75" s="36">
        <f>LabP8815R0L1G8Rate</f>
        <v>2.5</v>
      </c>
      <c r="E75" s="37">
        <f>'SOU-SMI-Main Roof'!DuoRidge</f>
        <v>14.3</v>
      </c>
      <c r="F75" s="27" t="str">
        <f xml:space="preserve"> "" &amp; LabP8815R0L1G8Per</f>
        <v>m</v>
      </c>
      <c r="G75" s="36">
        <f t="shared" si="1"/>
        <v>35.75</v>
      </c>
    </row>
    <row r="76" spans="1:7" x14ac:dyDescent="0.2">
      <c r="A76" s="24" t="str">
        <f>LabP8815R0L1G10Desc</f>
        <v>Abut Courses</v>
      </c>
      <c r="D76" s="36">
        <f>LabP8815R0L1G10Rate</f>
        <v>5</v>
      </c>
      <c r="E76" s="37">
        <f>'SOU-SMI-Main Roof'!AbutCourses</f>
        <v>8.56</v>
      </c>
      <c r="F76" s="27" t="str">
        <f xml:space="preserve"> "" &amp; LabP8815R0L1G10Per</f>
        <v>m</v>
      </c>
      <c r="G76" s="36">
        <f t="shared" si="1"/>
        <v>42.800000000000004</v>
      </c>
    </row>
    <row r="77" spans="1:7" x14ac:dyDescent="0.2">
      <c r="A77" s="24" t="str">
        <f>LabP8815R0L1G241Desc</f>
        <v>Party Wall Insulation</v>
      </c>
      <c r="D77" s="36">
        <f>LabP8815R0L1G241Rate</f>
        <v>1.5</v>
      </c>
      <c r="E77" s="37">
        <v>11.84</v>
      </c>
      <c r="F77" s="27" t="str">
        <f xml:space="preserve"> "" &amp; LabP8815R0L1G241Per</f>
        <v>m</v>
      </c>
      <c r="G77" s="36">
        <f t="shared" si="1"/>
        <v>17.759999999999998</v>
      </c>
    </row>
    <row r="78" spans="1:7" x14ac:dyDescent="0.2">
      <c r="A78" s="24" t="str">
        <f>LabP8815R15L1G243Desc</f>
        <v>Apron Flashing (Code 4)</v>
      </c>
      <c r="D78" s="36">
        <f>LabP8815R15L1G243Rate</f>
        <v>15</v>
      </c>
      <c r="E78" s="37">
        <v>3.6</v>
      </c>
      <c r="F78" s="27" t="str">
        <f xml:space="preserve"> "" &amp; LabP8815R15L1G243Per</f>
        <v>m</v>
      </c>
      <c r="G78" s="36">
        <f t="shared" si="1"/>
        <v>54</v>
      </c>
    </row>
    <row r="79" spans="1:7" x14ac:dyDescent="0.2">
      <c r="A79" s="24" t="str">
        <f>LabP8815R15L1G274Desc</f>
        <v>Step and Cover Flashing (Code 4)</v>
      </c>
      <c r="D79" s="36">
        <f>LabP8815R15L1G274Rate</f>
        <v>15</v>
      </c>
      <c r="E79" s="37">
        <v>8.56</v>
      </c>
      <c r="F79" s="27" t="str">
        <f xml:space="preserve"> "" &amp; LabP8815R15L1G274Per</f>
        <v>m</v>
      </c>
      <c r="G79" s="36">
        <f t="shared" si="1"/>
        <v>128.4</v>
      </c>
    </row>
    <row r="80" spans="1:7" x14ac:dyDescent="0.2">
      <c r="A80" s="24" t="str">
        <f>LabP8815R0LabCuttingandDressingtoGRPDormersDesc</f>
        <v>Cutting and Dressing to GRP Dormers</v>
      </c>
      <c r="D80" s="36">
        <f>LabP8815R0LabCuttingandDressingtoGRPDormersRate</f>
        <v>35</v>
      </c>
      <c r="E80" s="37">
        <v>2</v>
      </c>
      <c r="F80" s="27" t="str">
        <f xml:space="preserve"> "" &amp; LabP8815R0LabCuttingandDressingtoGRPDormersPer</f>
        <v/>
      </c>
      <c r="G80" s="36">
        <f t="shared" si="1"/>
        <v>70</v>
      </c>
    </row>
    <row r="81" spans="1:7" x14ac:dyDescent="0.2">
      <c r="A81" s="24" t="str">
        <f>LabP8815R30LabLabourforCuttingtoVeluxDesc</f>
        <v>Labour for Cutting to Velux</v>
      </c>
      <c r="D81" s="36">
        <f>LabP8815R30LabLabourforCuttingtoVeluxRate</f>
        <v>30</v>
      </c>
      <c r="E81" s="37">
        <v>2</v>
      </c>
      <c r="F81" s="27" t="str">
        <f xml:space="preserve"> "" &amp; LabP8815R30LabLabourforCuttingtoVeluxPer</f>
        <v/>
      </c>
      <c r="G81" s="36">
        <f t="shared" si="1"/>
        <v>60</v>
      </c>
    </row>
    <row r="82" spans="1:7" x14ac:dyDescent="0.2">
      <c r="A82" s="24" t="str">
        <f>LabP8815R30LabLabourforCuttingtoSolarPanelsDesc</f>
        <v>Labour for Cutting to Solar Panels</v>
      </c>
      <c r="D82" s="36">
        <f>LabP8815R30LabLabourforCuttingtoSolarPanelsRate</f>
        <v>30</v>
      </c>
      <c r="E82" s="37">
        <v>4</v>
      </c>
      <c r="F82" s="27" t="str">
        <f xml:space="preserve"> "" &amp; LabP8815R30LabLabourforCuttingtoSolarPanelsPer</f>
        <v/>
      </c>
      <c r="G82" s="36">
        <f t="shared" si="1"/>
        <v>120</v>
      </c>
    </row>
    <row r="83" spans="1:7" x14ac:dyDescent="0.2">
      <c r="D83" s="36"/>
      <c r="E83" s="37"/>
      <c r="F83" s="27"/>
      <c r="G83" s="36"/>
    </row>
    <row r="84" spans="1:7" x14ac:dyDescent="0.2">
      <c r="A84" s="103"/>
      <c r="B84" s="103"/>
      <c r="C84" s="103"/>
      <c r="D84" s="36"/>
      <c r="E84" s="37"/>
      <c r="G84" s="36"/>
    </row>
    <row r="85" spans="1:7" x14ac:dyDescent="0.2">
      <c r="F85" s="34" t="s">
        <v>5</v>
      </c>
      <c r="G85" s="35">
        <f>SUM(G71:G84)</f>
        <v>1693.89</v>
      </c>
    </row>
    <row r="89" spans="1:7" x14ac:dyDescent="0.2">
      <c r="A89" s="34"/>
      <c r="B89" s="38"/>
    </row>
    <row r="91" spans="1:7" x14ac:dyDescent="0.2">
      <c r="A91" s="34"/>
      <c r="B91" s="38"/>
    </row>
    <row r="93" spans="1:7" x14ac:dyDescent="0.2">
      <c r="A93" s="34"/>
      <c r="B93" s="38"/>
    </row>
    <row r="95" spans="1:7" x14ac:dyDescent="0.2">
      <c r="A95" s="34"/>
      <c r="B95" s="38"/>
    </row>
    <row r="98" spans="1:3" x14ac:dyDescent="0.2">
      <c r="A98" s="34"/>
      <c r="B98" s="38"/>
      <c r="C98" s="39"/>
    </row>
    <row r="100" spans="1:3" x14ac:dyDescent="0.2">
      <c r="A100" s="34"/>
      <c r="B100" s="38"/>
    </row>
    <row r="102" spans="1:3" x14ac:dyDescent="0.2">
      <c r="A102" s="34"/>
      <c r="B102" s="38"/>
      <c r="C102" s="39"/>
    </row>
    <row r="104" spans="1:3" x14ac:dyDescent="0.2">
      <c r="A104" s="34"/>
      <c r="B104" s="38"/>
    </row>
    <row r="106" spans="1:3" x14ac:dyDescent="0.2">
      <c r="A106" s="34"/>
      <c r="B106" s="38"/>
    </row>
    <row r="109" spans="1:3" x14ac:dyDescent="0.2">
      <c r="A109" s="34"/>
      <c r="B109" s="38"/>
    </row>
    <row r="111" spans="1:3" x14ac:dyDescent="0.2">
      <c r="A111" s="34"/>
      <c r="B111" s="38"/>
    </row>
    <row r="113" spans="1:3" x14ac:dyDescent="0.2">
      <c r="A113" s="34"/>
      <c r="B113" s="38"/>
      <c r="C113" s="39"/>
    </row>
    <row r="116" spans="1:3" x14ac:dyDescent="0.2">
      <c r="A116" s="34"/>
      <c r="B116" s="40"/>
      <c r="C116" s="23"/>
    </row>
    <row r="119" spans="1:3" x14ac:dyDescent="0.2">
      <c r="A119" s="39"/>
      <c r="B119" s="41"/>
    </row>
  </sheetData>
  <mergeCells count="5">
    <mergeCell ref="B4:F4"/>
    <mergeCell ref="B5:F5"/>
    <mergeCell ref="A70:C70"/>
    <mergeCell ref="A71:C71"/>
    <mergeCell ref="A84:C84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013E0-3DF4-49DE-AFA0-629DEBC1DFAB}">
  <dimension ref="A1:G97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tr">
        <f>IF(ISBLANK(CustomerName),"",CustomerName)</f>
        <v>Example Customer</v>
      </c>
      <c r="C1" s="39"/>
      <c r="D1" s="39"/>
      <c r="E1" s="39"/>
      <c r="F1" s="39"/>
    </row>
    <row r="2" spans="1:7" x14ac:dyDescent="0.2">
      <c r="A2" s="23" t="s">
        <v>64</v>
      </c>
      <c r="B2" s="39" t="str">
        <f>IF(ISBLANK(SiteReference),"",SiteReference)</f>
        <v>Site Address Here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f>IF(ISBLANK(SiteName),"",SiteName)</f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216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145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6.22</v>
      </c>
      <c r="C9" s="23"/>
      <c r="D9" s="26"/>
    </row>
    <row r="10" spans="1:7" x14ac:dyDescent="0.2">
      <c r="A10" s="23" t="s">
        <v>114</v>
      </c>
      <c r="B10" s="24">
        <v>3.4</v>
      </c>
      <c r="C10" s="23"/>
      <c r="D10" s="26"/>
    </row>
    <row r="11" spans="1:7" x14ac:dyDescent="0.2">
      <c r="A11" s="23" t="s">
        <v>141</v>
      </c>
      <c r="B11" s="24">
        <v>3.4</v>
      </c>
      <c r="C11" s="23"/>
      <c r="D11" s="26"/>
    </row>
    <row r="12" spans="1:7" x14ac:dyDescent="0.2">
      <c r="A12" s="23" t="s">
        <v>115</v>
      </c>
      <c r="B12" s="24">
        <v>1.83</v>
      </c>
      <c r="C12" s="23"/>
      <c r="D12" s="26"/>
    </row>
    <row r="13" spans="1:7" x14ac:dyDescent="0.2">
      <c r="A13" s="23" t="s">
        <v>116</v>
      </c>
      <c r="B13" s="24">
        <v>1.83</v>
      </c>
      <c r="C13" s="23"/>
      <c r="D13" s="26"/>
    </row>
    <row r="14" spans="1:7" x14ac:dyDescent="0.2">
      <c r="A14" s="23" t="s">
        <v>119</v>
      </c>
      <c r="B14" s="24">
        <v>600</v>
      </c>
      <c r="C14" s="23"/>
      <c r="D14" s="26"/>
    </row>
    <row r="15" spans="1:7" x14ac:dyDescent="0.2">
      <c r="A15" s="23" t="s">
        <v>120</v>
      </c>
      <c r="B15" s="24">
        <v>29</v>
      </c>
      <c r="C15" s="23"/>
      <c r="D15" s="26"/>
    </row>
    <row r="16" spans="1:7" x14ac:dyDescent="0.2">
      <c r="A16" s="23"/>
      <c r="C16" s="23"/>
      <c r="D16" s="26"/>
    </row>
    <row r="17" spans="1:7" x14ac:dyDescent="0.2">
      <c r="A17" s="23"/>
      <c r="B17" s="27"/>
      <c r="C17" s="23"/>
      <c r="D17" s="26"/>
    </row>
    <row r="18" spans="1:7" x14ac:dyDescent="0.2">
      <c r="A18" s="28" t="s">
        <v>10</v>
      </c>
      <c r="B18" s="28"/>
      <c r="C18" s="28"/>
      <c r="D18" s="28"/>
      <c r="E18" s="28"/>
      <c r="F18" s="28"/>
      <c r="G18" s="28"/>
    </row>
    <row r="19" spans="1:7" x14ac:dyDescent="0.2">
      <c r="A19" s="28"/>
      <c r="B19" s="28"/>
      <c r="C19" s="28"/>
      <c r="D19" s="28"/>
      <c r="E19" s="28"/>
      <c r="F19" s="28"/>
      <c r="G19" s="28"/>
    </row>
    <row r="20" spans="1:7" x14ac:dyDescent="0.2">
      <c r="A20" s="29" t="s">
        <v>121</v>
      </c>
      <c r="B20" s="24" t="s">
        <v>122</v>
      </c>
      <c r="C20" s="29"/>
      <c r="D20" s="29"/>
      <c r="E20" s="29"/>
      <c r="F20" s="29"/>
    </row>
    <row r="21" spans="1:7" x14ac:dyDescent="0.2">
      <c r="A21" s="29" t="s">
        <v>123</v>
      </c>
      <c r="B21" s="24" t="s">
        <v>124</v>
      </c>
      <c r="C21" s="29"/>
      <c r="D21" s="29"/>
      <c r="E21" s="29"/>
      <c r="F21" s="29"/>
    </row>
    <row r="22" spans="1:7" x14ac:dyDescent="0.2">
      <c r="A22" s="29"/>
      <c r="B22" s="24" t="s">
        <v>125</v>
      </c>
      <c r="C22" s="29"/>
      <c r="D22" s="29"/>
      <c r="E22" s="29"/>
      <c r="F22" s="29"/>
    </row>
    <row r="23" spans="1:7" x14ac:dyDescent="0.2">
      <c r="A23" s="29" t="s">
        <v>126</v>
      </c>
      <c r="B23" s="24" t="s">
        <v>127</v>
      </c>
      <c r="C23" s="29"/>
      <c r="D23" s="29"/>
      <c r="E23" s="29"/>
      <c r="F23" s="29"/>
    </row>
    <row r="24" spans="1:7" x14ac:dyDescent="0.2">
      <c r="A24" s="29"/>
      <c r="B24" s="24" t="s">
        <v>142</v>
      </c>
      <c r="C24" s="29"/>
      <c r="D24" s="29"/>
      <c r="E24" s="29"/>
      <c r="F24" s="29"/>
    </row>
    <row r="25" spans="1:7" x14ac:dyDescent="0.2">
      <c r="A25" s="29" t="s">
        <v>129</v>
      </c>
      <c r="B25" s="24" t="s">
        <v>130</v>
      </c>
      <c r="C25" s="29"/>
      <c r="D25" s="29"/>
      <c r="E25" s="29"/>
      <c r="F25" s="29"/>
    </row>
    <row r="26" spans="1:7" x14ac:dyDescent="0.2">
      <c r="A26" s="29" t="s">
        <v>134</v>
      </c>
      <c r="B26" s="24" t="s">
        <v>135</v>
      </c>
      <c r="C26" s="29"/>
      <c r="D26" s="29"/>
      <c r="E26" s="29"/>
      <c r="F26" s="29"/>
    </row>
    <row r="27" spans="1:7" x14ac:dyDescent="0.2">
      <c r="A27" s="29" t="s">
        <v>136</v>
      </c>
      <c r="B27" s="24" t="s">
        <v>137</v>
      </c>
      <c r="C27" s="29"/>
      <c r="D27" s="29"/>
      <c r="E27" s="29"/>
      <c r="F27" s="29"/>
    </row>
    <row r="28" spans="1:7" x14ac:dyDescent="0.2">
      <c r="A28" s="29" t="s">
        <v>143</v>
      </c>
      <c r="B28" s="24" t="s">
        <v>144</v>
      </c>
      <c r="C28" s="29"/>
      <c r="D28" s="29"/>
      <c r="E28" s="29"/>
      <c r="F28" s="29"/>
    </row>
    <row r="29" spans="1:7" x14ac:dyDescent="0.2">
      <c r="A29" s="29"/>
      <c r="C29" s="29"/>
      <c r="D29" s="29"/>
      <c r="E29" s="29"/>
      <c r="F29" s="29"/>
    </row>
    <row r="30" spans="1:7" x14ac:dyDescent="0.2">
      <c r="A30" s="29"/>
      <c r="C30" s="29"/>
      <c r="D30" s="29"/>
      <c r="E30" s="29"/>
      <c r="F30" s="29"/>
    </row>
    <row r="31" spans="1:7" x14ac:dyDescent="0.2">
      <c r="A31" s="25" t="s">
        <v>14</v>
      </c>
      <c r="B31" s="25"/>
      <c r="C31" s="25"/>
      <c r="D31" s="25"/>
      <c r="E31" s="25"/>
      <c r="F31" s="25"/>
      <c r="G31" s="25"/>
    </row>
    <row r="33" spans="1:7" s="29" customFormat="1" x14ac:dyDescent="0.2">
      <c r="A33" s="29" t="s">
        <v>25</v>
      </c>
      <c r="B33" s="29" t="s">
        <v>38</v>
      </c>
      <c r="C33" s="29" t="s">
        <v>2</v>
      </c>
      <c r="D33" s="30" t="s">
        <v>9</v>
      </c>
      <c r="E33" s="30" t="s">
        <v>3</v>
      </c>
      <c r="F33" s="30" t="s">
        <v>4</v>
      </c>
      <c r="G33" s="30" t="s">
        <v>16</v>
      </c>
    </row>
    <row r="34" spans="1:7" x14ac:dyDescent="0.2">
      <c r="A34" s="24" t="str">
        <f>MatP8815C0Colour</f>
        <v>Not Specified</v>
      </c>
      <c r="B34" s="24" t="str">
        <f>IF(MatP8815C0Code=0,"",MatP8815C0Code)</f>
        <v/>
      </c>
      <c r="C34" s="24" t="str">
        <f>MatP8815C0Desc</f>
        <v>TLE Tile</v>
      </c>
      <c r="D34" s="31">
        <v>74</v>
      </c>
      <c r="E34" s="32">
        <f>MatP8815C0Price</f>
        <v>1.2</v>
      </c>
      <c r="F34" s="33" t="str">
        <f>MatP8815C0PerText</f>
        <v>Each</v>
      </c>
      <c r="G34" s="32">
        <f t="shared" ref="G34:G49" si="0">D34 * E34</f>
        <v>88.8</v>
      </c>
    </row>
    <row r="35" spans="1:7" x14ac:dyDescent="0.2">
      <c r="A35" s="24" t="str">
        <f>MatP10135C0Colour</f>
        <v>Not Specified</v>
      </c>
      <c r="B35" s="24" t="str">
        <f>IF(MatP10135C0Code=0,"",MatP10135C0Code)</f>
        <v/>
      </c>
      <c r="C35" s="24" t="str">
        <f>MatP10135C0Desc</f>
        <v>VP300 Vapour Permeable Underlay (50m x 1m)</v>
      </c>
      <c r="D35" s="31">
        <v>0.25</v>
      </c>
      <c r="E35" s="32">
        <f>MatP10135C0Price</f>
        <v>35</v>
      </c>
      <c r="F35" s="33" t="str">
        <f>MatP10135C0PerText</f>
        <v>Roll</v>
      </c>
      <c r="G35" s="32">
        <f t="shared" si="0"/>
        <v>8.75</v>
      </c>
    </row>
    <row r="36" spans="1:7" x14ac:dyDescent="0.2">
      <c r="A36" s="24" t="str">
        <f>MatP9008C0Colour</f>
        <v>Not Specified</v>
      </c>
      <c r="B36" s="24" t="str">
        <f>IF(MatP9008C0Code=0,"",MatP9008C0Code)</f>
        <v/>
      </c>
      <c r="C36" s="24" t="str">
        <f>MatP9008C0Desc</f>
        <v>Battens (50mm x 25mm)</v>
      </c>
      <c r="D36" s="31">
        <v>21</v>
      </c>
      <c r="E36" s="32">
        <f>MatP9008C0Price</f>
        <v>0.9</v>
      </c>
      <c r="F36" s="33" t="str">
        <f>MatP9008C0PerText</f>
        <v>Metre</v>
      </c>
      <c r="G36" s="32">
        <f t="shared" si="0"/>
        <v>18.900000000000002</v>
      </c>
    </row>
    <row r="37" spans="1:7" x14ac:dyDescent="0.2">
      <c r="A37" s="24" t="str">
        <f>MatP8857C0Colour</f>
        <v>Not Specified</v>
      </c>
      <c r="B37" s="24" t="str">
        <f>IF(MatP8857C0Code=0,"",MatP8857C0Code)</f>
        <v/>
      </c>
      <c r="C37" s="24" t="str">
        <f>MatP8857C0Desc</f>
        <v>LH Uni-Fix Dry Verge Unit</v>
      </c>
      <c r="D37" s="31">
        <v>12</v>
      </c>
      <c r="E37" s="32">
        <f>MatP8857C0Price</f>
        <v>1.1000000000000001</v>
      </c>
      <c r="F37" s="33" t="str">
        <f>MatP8857C0PerText</f>
        <v>Each</v>
      </c>
      <c r="G37" s="32">
        <f t="shared" si="0"/>
        <v>13.200000000000001</v>
      </c>
    </row>
    <row r="38" spans="1:7" x14ac:dyDescent="0.2">
      <c r="A38" s="24" t="str">
        <f>MatP8869C0Colour</f>
        <v>Not Specified</v>
      </c>
      <c r="B38" s="24" t="str">
        <f>IF(MatP8869C0Code=0,"",MatP8869C0Code)</f>
        <v/>
      </c>
      <c r="C38" s="24" t="str">
        <f>MatP8869C0Desc</f>
        <v>RH Uni-Fix Dry Verge Unit</v>
      </c>
      <c r="D38" s="31">
        <v>12</v>
      </c>
      <c r="E38" s="32">
        <f>MatP8869C0Price</f>
        <v>1.1000000000000001</v>
      </c>
      <c r="F38" s="33" t="str">
        <f>MatP8869C0PerText</f>
        <v>Each</v>
      </c>
      <c r="G38" s="32">
        <f t="shared" si="0"/>
        <v>13.200000000000001</v>
      </c>
    </row>
    <row r="39" spans="1:7" x14ac:dyDescent="0.2">
      <c r="A39" s="24" t="str">
        <f>MatP8830C20Colour</f>
        <v>Not Specified</v>
      </c>
      <c r="B39" s="24" t="str">
        <f>IF(MatP8830C20Code=0,"",MatP8830C20Code)</f>
        <v/>
      </c>
      <c r="C39" s="24" t="str">
        <f>MatP8830C20Desc</f>
        <v>Dry Verge Starter Unit</v>
      </c>
      <c r="D39" s="31">
        <v>2</v>
      </c>
      <c r="E39" s="32">
        <f>MatP8830C20Price</f>
        <v>1.51</v>
      </c>
      <c r="F39" s="33" t="str">
        <f>MatP8830C20PerText</f>
        <v>Each</v>
      </c>
      <c r="G39" s="32">
        <f t="shared" si="0"/>
        <v>3.02</v>
      </c>
    </row>
    <row r="40" spans="1:7" x14ac:dyDescent="0.2">
      <c r="A40" s="24" t="str">
        <f>MatP8821C20Colour</f>
        <v>Not Specified</v>
      </c>
      <c r="B40" s="24" t="str">
        <f>IF(MatP8821C20Code=0,"",MatP8821C20Code)</f>
        <v/>
      </c>
      <c r="C40" s="24" t="str">
        <f>MatP8821C20Desc</f>
        <v>25mm Over Fascia Vent (1m)</v>
      </c>
      <c r="D40" s="31">
        <v>4</v>
      </c>
      <c r="E40" s="32">
        <f>MatP8821C20Price</f>
        <v>1.9</v>
      </c>
      <c r="F40" s="33" t="str">
        <f>MatP8821C20PerText</f>
        <v>Each</v>
      </c>
      <c r="G40" s="32">
        <f t="shared" si="0"/>
        <v>7.6</v>
      </c>
    </row>
    <row r="41" spans="1:7" x14ac:dyDescent="0.2">
      <c r="A41" s="24" t="str">
        <f>MatP8281C0Colour</f>
        <v>Not Specified</v>
      </c>
      <c r="B41" s="24" t="str">
        <f>IF(MatP8281C0Code=0,"",MatP8281C0Code)</f>
        <v/>
      </c>
      <c r="C41" s="24" t="str">
        <f>MatP8281C0Desc</f>
        <v>Generic Eave Insulation (1m)</v>
      </c>
      <c r="D41" s="31">
        <v>4</v>
      </c>
      <c r="E41" s="32">
        <f>MatP8281C0Price</f>
        <v>5</v>
      </c>
      <c r="F41" s="33" t="str">
        <f>MatP8281C0PerText</f>
        <v>Each</v>
      </c>
      <c r="G41" s="32">
        <f t="shared" si="0"/>
        <v>20</v>
      </c>
    </row>
    <row r="42" spans="1:7" x14ac:dyDescent="0.2">
      <c r="A42" s="24" t="str">
        <f>MatP8866C20Colour</f>
        <v>Not Specified</v>
      </c>
      <c r="B42" s="24" t="str">
        <f>IF(MatP8866C20Code=0,"",MatP8866C20Code)</f>
        <v/>
      </c>
      <c r="C42" s="24" t="str">
        <f>MatP8866C20Desc</f>
        <v>Rafter Roll (6m x 600mm)</v>
      </c>
      <c r="D42" s="31">
        <v>1</v>
      </c>
      <c r="E42" s="32">
        <f>MatP8866C20Price</f>
        <v>9.5</v>
      </c>
      <c r="F42" s="33" t="str">
        <f>MatP8866C20PerText</f>
        <v>Each</v>
      </c>
      <c r="G42" s="32">
        <f t="shared" si="0"/>
        <v>9.5</v>
      </c>
    </row>
    <row r="43" spans="1:7" x14ac:dyDescent="0.2">
      <c r="A43" s="24" t="str">
        <f>MatP8874C20Colour</f>
        <v>Not Specified</v>
      </c>
      <c r="B43" s="24" t="str">
        <f>IF(MatP8874C20Code=0,"",MatP8874C20Code)</f>
        <v/>
      </c>
      <c r="C43" s="24" t="str">
        <f>MatP8874C20Desc</f>
        <v>Underlay Support Tray (1.5m)</v>
      </c>
      <c r="D43" s="31">
        <v>3</v>
      </c>
      <c r="E43" s="32">
        <f>MatP8874C20Price</f>
        <v>1.5</v>
      </c>
      <c r="F43" s="33" t="str">
        <f>MatP8874C20PerText</f>
        <v>Each</v>
      </c>
      <c r="G43" s="32">
        <f t="shared" si="0"/>
        <v>4.5</v>
      </c>
    </row>
    <row r="44" spans="1:7" x14ac:dyDescent="0.2">
      <c r="A44" s="24" t="str">
        <f>MatP8872C539Colour</f>
        <v>Not Specified</v>
      </c>
      <c r="B44" s="24" t="str">
        <f>IF(MatP8872C539Code=0,"",MatP8872C539Code)</f>
        <v/>
      </c>
      <c r="C44" s="24" t="str">
        <f>MatP8872C539Desc</f>
        <v>Sidelock Tile Clips (TLE)</v>
      </c>
      <c r="D44" s="31">
        <v>18</v>
      </c>
      <c r="E44" s="32">
        <f>MatP8872C539Price</f>
        <v>7.0000000000000007E-2</v>
      </c>
      <c r="F44" s="33" t="str">
        <f>MatP8872C539PerText</f>
        <v>Each</v>
      </c>
      <c r="G44" s="32">
        <f t="shared" si="0"/>
        <v>1.2600000000000002</v>
      </c>
    </row>
    <row r="45" spans="1:7" x14ac:dyDescent="0.2">
      <c r="A45" s="24" t="str">
        <f>MatP8826C539Colour</f>
        <v>Not Specified</v>
      </c>
      <c r="B45" s="24" t="str">
        <f>IF(MatP8826C539Code=0,"",MatP8826C539Code)</f>
        <v/>
      </c>
      <c r="C45" s="24" t="str">
        <f>MatP8826C539Desc</f>
        <v>Metal Batten End Clips</v>
      </c>
      <c r="D45" s="31">
        <v>12</v>
      </c>
      <c r="E45" s="32">
        <f>MatP8826C539Price</f>
        <v>0.28000000000000003</v>
      </c>
      <c r="F45" s="33" t="str">
        <f>MatP8826C539PerText</f>
        <v>Each</v>
      </c>
      <c r="G45" s="32">
        <f t="shared" si="0"/>
        <v>3.3600000000000003</v>
      </c>
    </row>
    <row r="46" spans="1:7" x14ac:dyDescent="0.2">
      <c r="A46" s="24" t="str">
        <f>MatP8831C539Colour</f>
        <v>Not Specified</v>
      </c>
      <c r="B46" s="24" t="str">
        <f>IF(MatP8831C539Code=0,"",MatP8831C539Code)</f>
        <v/>
      </c>
      <c r="C46" s="24" t="str">
        <f>MatP8831C539Desc</f>
        <v>Eave Clip</v>
      </c>
      <c r="D46" s="31">
        <v>12</v>
      </c>
      <c r="E46" s="32">
        <f>MatP8831C539Price</f>
        <v>0.1</v>
      </c>
      <c r="F46" s="33" t="str">
        <f>MatP8831C539PerText</f>
        <v>Each</v>
      </c>
      <c r="G46" s="32">
        <f t="shared" si="0"/>
        <v>1.2000000000000002</v>
      </c>
    </row>
    <row r="47" spans="1:7" x14ac:dyDescent="0.2">
      <c r="A47" s="24" t="str">
        <f>MatP9318C0Colour</f>
        <v>Not Specified</v>
      </c>
      <c r="B47" s="24" t="str">
        <f>IF(MatP9318C0Code=0,"",MatP9318C0Code)</f>
        <v/>
      </c>
      <c r="C47" s="24" t="str">
        <f>MatP9318C0Desc</f>
        <v>45mm x 3.35mm Aluminium Nails</v>
      </c>
      <c r="D47" s="31">
        <v>1</v>
      </c>
      <c r="E47" s="32">
        <f>MatP9318C0Price</f>
        <v>7.28</v>
      </c>
      <c r="F47" s="33" t="str">
        <f>MatP9318C0PerText</f>
        <v>Kg</v>
      </c>
      <c r="G47" s="32">
        <f t="shared" si="0"/>
        <v>7.28</v>
      </c>
    </row>
    <row r="48" spans="1:7" x14ac:dyDescent="0.2">
      <c r="A48" s="24" t="str">
        <f>MatP9100C0Colour</f>
        <v>Not Specified</v>
      </c>
      <c r="B48" s="24" t="str">
        <f>IF(MatP9100C0Code=0,"",MatP9100C0Code)</f>
        <v/>
      </c>
      <c r="C48" s="24" t="str">
        <f>MatP9100C0Desc</f>
        <v>Batten Nails - 65mm x 3.35mm Galvanised</v>
      </c>
      <c r="D48" s="31">
        <v>1</v>
      </c>
      <c r="E48" s="32">
        <f>MatP9100C0Price</f>
        <v>4.5</v>
      </c>
      <c r="F48" s="33" t="str">
        <f>MatP9100C0PerText</f>
        <v>Kg</v>
      </c>
      <c r="G48" s="32">
        <f t="shared" si="0"/>
        <v>4.5</v>
      </c>
    </row>
    <row r="49" spans="1:7" x14ac:dyDescent="0.2">
      <c r="A49" s="24" t="str">
        <f>MatP9066C92Colour</f>
        <v>Not Specified</v>
      </c>
      <c r="B49" s="24" t="str">
        <f>IF(MatP9066C92Code=0,"",MatP9066C92Code)</f>
        <v/>
      </c>
      <c r="C49" s="24" t="str">
        <f>MatP9066C92Desc</f>
        <v>Lead Code 4 - 300mm (6m)</v>
      </c>
      <c r="D49" s="31">
        <v>6</v>
      </c>
      <c r="E49" s="32">
        <f>MatP9066C92Price</f>
        <v>15.21</v>
      </c>
      <c r="F49" s="33" t="str">
        <f>MatP9066C92PerText</f>
        <v>Metre</v>
      </c>
      <c r="G49" s="32">
        <f t="shared" si="0"/>
        <v>91.26</v>
      </c>
    </row>
    <row r="50" spans="1:7" x14ac:dyDescent="0.2">
      <c r="D50" s="31"/>
      <c r="E50" s="32"/>
      <c r="F50" s="33"/>
      <c r="G50" s="32"/>
    </row>
    <row r="51" spans="1:7" x14ac:dyDescent="0.2">
      <c r="F51" s="34" t="s">
        <v>5</v>
      </c>
      <c r="G51" s="35">
        <f>SUM(G34:G50)</f>
        <v>296.33</v>
      </c>
    </row>
    <row r="52" spans="1:7" x14ac:dyDescent="0.2">
      <c r="G52" s="34"/>
    </row>
    <row r="53" spans="1:7" x14ac:dyDescent="0.2">
      <c r="A53" s="25" t="s">
        <v>15</v>
      </c>
      <c r="B53" s="25"/>
      <c r="D53" s="25"/>
      <c r="E53" s="25"/>
      <c r="F53" s="25"/>
      <c r="G53" s="25"/>
    </row>
    <row r="55" spans="1:7" x14ac:dyDescent="0.2">
      <c r="A55" s="102" t="s">
        <v>6</v>
      </c>
      <c r="B55" s="102"/>
      <c r="C55" s="102"/>
      <c r="D55" s="34" t="s">
        <v>7</v>
      </c>
      <c r="E55" s="34" t="s">
        <v>9</v>
      </c>
      <c r="F55" s="34" t="s">
        <v>8</v>
      </c>
      <c r="G55" s="34" t="s">
        <v>16</v>
      </c>
    </row>
    <row r="56" spans="1:7" x14ac:dyDescent="0.2">
      <c r="A56" s="103" t="str">
        <f>LabP8815R6L1G1Desc</f>
        <v>Main Area</v>
      </c>
      <c r="B56" s="103"/>
      <c r="C56" s="103"/>
      <c r="D56" s="36">
        <f>LabP8815R6L1G1Rate</f>
        <v>9</v>
      </c>
      <c r="E56" s="37">
        <f>'SOU-SMI-Porch (Lean to)'!Area</f>
        <v>6.22</v>
      </c>
      <c r="F56" s="27" t="str">
        <f xml:space="preserve"> "" &amp; LabP8815R6L1G1Per</f>
        <v>m²</v>
      </c>
      <c r="G56" s="36">
        <f>D56 * E56</f>
        <v>55.98</v>
      </c>
    </row>
    <row r="57" spans="1:7" x14ac:dyDescent="0.2">
      <c r="A57" s="24" t="str">
        <f>LabP8815R0L1G2Desc</f>
        <v>Eave</v>
      </c>
      <c r="D57" s="36">
        <f>LabP8815R0L1G2Rate</f>
        <v>2.5</v>
      </c>
      <c r="E57" s="37">
        <f>'SOU-SMI-Porch (Lean to)'!Eave</f>
        <v>3.4</v>
      </c>
      <c r="F57" s="27" t="str">
        <f xml:space="preserve"> "" &amp; LabP8815R0L1G2Per</f>
        <v>m</v>
      </c>
      <c r="G57" s="36">
        <f>D57 * E57</f>
        <v>8.5</v>
      </c>
    </row>
    <row r="58" spans="1:7" x14ac:dyDescent="0.2">
      <c r="A58" s="24" t="str">
        <f>LabP8815R0L1G3Desc</f>
        <v>Verge</v>
      </c>
      <c r="D58" s="36">
        <f>LabP8815R0L1G3Rate</f>
        <v>2.5</v>
      </c>
      <c r="E58" s="37">
        <f>LeftVerge+RightVerge</f>
        <v>3.66</v>
      </c>
      <c r="F58" s="27" t="str">
        <f xml:space="preserve"> "" &amp; LabP8815R0L1G3Per</f>
        <v>m</v>
      </c>
      <c r="G58" s="36">
        <f>D58 * E58</f>
        <v>9.15</v>
      </c>
    </row>
    <row r="59" spans="1:7" x14ac:dyDescent="0.2">
      <c r="A59" s="24" t="str">
        <f>LabP8815R15L1G243Desc</f>
        <v>Apron Flashing (Code 4)</v>
      </c>
      <c r="D59" s="36">
        <f>LabP8815R15L1G243Rate</f>
        <v>15</v>
      </c>
      <c r="E59" s="37">
        <v>3.4</v>
      </c>
      <c r="F59" s="27" t="str">
        <f xml:space="preserve"> "" &amp; LabP8815R15L1G243Per</f>
        <v>m</v>
      </c>
      <c r="G59" s="36">
        <f>D59 * E59</f>
        <v>51</v>
      </c>
    </row>
    <row r="60" spans="1:7" x14ac:dyDescent="0.2">
      <c r="A60" s="24" t="str">
        <f>LabP8815R150LabLabourforPorchesDesc</f>
        <v>Labour for Porches</v>
      </c>
      <c r="D60" s="36">
        <f>LabP8815R150LabLabourforPorchesRate</f>
        <v>150</v>
      </c>
      <c r="E60" s="37">
        <v>1</v>
      </c>
      <c r="F60" s="27" t="str">
        <f xml:space="preserve"> "" &amp; LabP8815R150LabLabourforPorchesPer</f>
        <v/>
      </c>
      <c r="G60" s="36">
        <f>D60 * E60</f>
        <v>150</v>
      </c>
    </row>
    <row r="61" spans="1:7" x14ac:dyDescent="0.2">
      <c r="D61" s="36"/>
      <c r="E61" s="37"/>
      <c r="F61" s="27"/>
      <c r="G61" s="36"/>
    </row>
    <row r="62" spans="1:7" x14ac:dyDescent="0.2">
      <c r="A62" s="103"/>
      <c r="B62" s="103"/>
      <c r="C62" s="103"/>
      <c r="D62" s="36"/>
      <c r="E62" s="37"/>
      <c r="G62" s="36"/>
    </row>
    <row r="63" spans="1:7" x14ac:dyDescent="0.2">
      <c r="F63" s="34" t="s">
        <v>5</v>
      </c>
      <c r="G63" s="35">
        <f>SUM(G56:G62)</f>
        <v>274.63</v>
      </c>
    </row>
    <row r="67" spans="1:3" x14ac:dyDescent="0.2">
      <c r="A67" s="34"/>
      <c r="B67" s="38"/>
    </row>
    <row r="69" spans="1:3" x14ac:dyDescent="0.2">
      <c r="A69" s="34"/>
      <c r="B69" s="38"/>
    </row>
    <row r="71" spans="1:3" x14ac:dyDescent="0.2">
      <c r="A71" s="34"/>
      <c r="B71" s="38"/>
    </row>
    <row r="73" spans="1:3" x14ac:dyDescent="0.2">
      <c r="A73" s="34"/>
      <c r="B73" s="38"/>
    </row>
    <row r="76" spans="1:3" x14ac:dyDescent="0.2">
      <c r="A76" s="34"/>
      <c r="B76" s="38"/>
      <c r="C76" s="39"/>
    </row>
    <row r="78" spans="1:3" x14ac:dyDescent="0.2">
      <c r="A78" s="34"/>
      <c r="B78" s="38"/>
    </row>
    <row r="80" spans="1:3" x14ac:dyDescent="0.2">
      <c r="A80" s="34"/>
      <c r="B80" s="38"/>
      <c r="C80" s="39"/>
    </row>
    <row r="82" spans="1:3" x14ac:dyDescent="0.2">
      <c r="A82" s="34"/>
      <c r="B82" s="38"/>
    </row>
    <row r="84" spans="1:3" x14ac:dyDescent="0.2">
      <c r="A84" s="34"/>
      <c r="B84" s="38"/>
    </row>
    <row r="87" spans="1:3" x14ac:dyDescent="0.2">
      <c r="A87" s="34"/>
      <c r="B87" s="38"/>
    </row>
    <row r="89" spans="1:3" x14ac:dyDescent="0.2">
      <c r="A89" s="34"/>
      <c r="B89" s="38"/>
    </row>
    <row r="91" spans="1:3" x14ac:dyDescent="0.2">
      <c r="A91" s="34"/>
      <c r="B91" s="38"/>
      <c r="C91" s="39"/>
    </row>
    <row r="94" spans="1:3" x14ac:dyDescent="0.2">
      <c r="A94" s="34"/>
      <c r="B94" s="40"/>
      <c r="C94" s="23"/>
    </row>
    <row r="97" spans="1:2" x14ac:dyDescent="0.2">
      <c r="A97" s="39"/>
      <c r="B97" s="41"/>
    </row>
  </sheetData>
  <mergeCells count="5">
    <mergeCell ref="B4:F4"/>
    <mergeCell ref="B5:F5"/>
    <mergeCell ref="A55:C55"/>
    <mergeCell ref="A56:C56"/>
    <mergeCell ref="A62:C62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84FA6-F157-4AE2-B6A0-6BF3FD09AD71}">
  <dimension ref="A1:G99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tr">
        <f>IF(ISBLANK(CustomerName),"",CustomerName)</f>
        <v>Example Customer</v>
      </c>
      <c r="C1" s="39"/>
      <c r="D1" s="39"/>
      <c r="E1" s="39"/>
      <c r="F1" s="39"/>
    </row>
    <row r="2" spans="1:7" x14ac:dyDescent="0.2">
      <c r="A2" s="23" t="s">
        <v>64</v>
      </c>
      <c r="B2" s="39" t="str">
        <f>IF(ISBLANK(SiteReference),"",SiteReference)</f>
        <v>Site Address Here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f>IF(ISBLANK(SiteName),"",SiteName)</f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219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139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105.64</v>
      </c>
      <c r="C9" s="23"/>
      <c r="D9" s="26"/>
    </row>
    <row r="10" spans="1:7" x14ac:dyDescent="0.2">
      <c r="A10" s="23" t="s">
        <v>114</v>
      </c>
      <c r="B10" s="24">
        <v>18.600000000000001</v>
      </c>
      <c r="C10" s="23"/>
      <c r="D10" s="26"/>
    </row>
    <row r="11" spans="1:7" x14ac:dyDescent="0.2">
      <c r="A11" s="23" t="s">
        <v>115</v>
      </c>
      <c r="B11" s="24">
        <v>11.36</v>
      </c>
      <c r="C11" s="23"/>
      <c r="D11" s="26"/>
    </row>
    <row r="12" spans="1:7" x14ac:dyDescent="0.2">
      <c r="A12" s="23" t="s">
        <v>116</v>
      </c>
      <c r="B12" s="24">
        <v>11.36</v>
      </c>
      <c r="C12" s="23"/>
      <c r="D12" s="26"/>
    </row>
    <row r="13" spans="1:7" x14ac:dyDescent="0.2">
      <c r="A13" s="23" t="s">
        <v>117</v>
      </c>
      <c r="B13" s="24">
        <v>9.3000000000000007</v>
      </c>
      <c r="C13" s="23"/>
      <c r="D13" s="26"/>
    </row>
    <row r="14" spans="1:7" x14ac:dyDescent="0.2">
      <c r="A14" s="23" t="s">
        <v>119</v>
      </c>
      <c r="B14" s="24">
        <v>600</v>
      </c>
      <c r="C14" s="23"/>
      <c r="D14" s="26"/>
    </row>
    <row r="15" spans="1:7" x14ac:dyDescent="0.2">
      <c r="A15" s="23" t="s">
        <v>120</v>
      </c>
      <c r="B15" s="24">
        <v>35</v>
      </c>
      <c r="C15" s="23"/>
      <c r="D15" s="26"/>
    </row>
    <row r="16" spans="1:7" x14ac:dyDescent="0.2">
      <c r="A16" s="23"/>
      <c r="C16" s="23"/>
      <c r="D16" s="26"/>
    </row>
    <row r="17" spans="1:7" x14ac:dyDescent="0.2">
      <c r="A17" s="23"/>
      <c r="B17" s="27"/>
      <c r="C17" s="23"/>
      <c r="D17" s="26"/>
    </row>
    <row r="18" spans="1:7" x14ac:dyDescent="0.2">
      <c r="A18" s="28" t="s">
        <v>10</v>
      </c>
      <c r="B18" s="28"/>
      <c r="C18" s="28"/>
      <c r="D18" s="28"/>
      <c r="E18" s="28"/>
      <c r="F18" s="28"/>
      <c r="G18" s="28"/>
    </row>
    <row r="19" spans="1:7" x14ac:dyDescent="0.2">
      <c r="A19" s="28"/>
      <c r="B19" s="28"/>
      <c r="C19" s="28"/>
      <c r="D19" s="28"/>
      <c r="E19" s="28"/>
      <c r="F19" s="28"/>
      <c r="G19" s="28"/>
    </row>
    <row r="20" spans="1:7" x14ac:dyDescent="0.2">
      <c r="A20" s="29" t="s">
        <v>121</v>
      </c>
      <c r="B20" s="24" t="s">
        <v>122</v>
      </c>
      <c r="C20" s="29"/>
      <c r="D20" s="29"/>
      <c r="E20" s="29"/>
      <c r="F20" s="29"/>
    </row>
    <row r="21" spans="1:7" x14ac:dyDescent="0.2">
      <c r="A21" s="29" t="s">
        <v>123</v>
      </c>
      <c r="B21" s="24" t="s">
        <v>124</v>
      </c>
      <c r="C21" s="29"/>
      <c r="D21" s="29"/>
      <c r="E21" s="29"/>
      <c r="F21" s="29"/>
    </row>
    <row r="22" spans="1:7" x14ac:dyDescent="0.2">
      <c r="A22" s="29"/>
      <c r="B22" s="24" t="s">
        <v>125</v>
      </c>
      <c r="C22" s="29"/>
      <c r="D22" s="29"/>
      <c r="E22" s="29"/>
      <c r="F22" s="29"/>
    </row>
    <row r="23" spans="1:7" x14ac:dyDescent="0.2">
      <c r="A23" s="29" t="s">
        <v>126</v>
      </c>
      <c r="B23" s="24" t="s">
        <v>127</v>
      </c>
      <c r="C23" s="29"/>
      <c r="D23" s="29"/>
      <c r="E23" s="29"/>
      <c r="F23" s="29"/>
    </row>
    <row r="24" spans="1:7" x14ac:dyDescent="0.2">
      <c r="A24" s="29"/>
      <c r="B24" s="24" t="s">
        <v>128</v>
      </c>
      <c r="C24" s="29"/>
      <c r="D24" s="29"/>
      <c r="E24" s="29"/>
      <c r="F24" s="29"/>
    </row>
    <row r="25" spans="1:7" x14ac:dyDescent="0.2">
      <c r="A25" s="29" t="s">
        <v>129</v>
      </c>
      <c r="B25" s="24" t="s">
        <v>130</v>
      </c>
      <c r="C25" s="29"/>
      <c r="D25" s="29"/>
      <c r="E25" s="29"/>
      <c r="F25" s="29"/>
    </row>
    <row r="26" spans="1:7" x14ac:dyDescent="0.2">
      <c r="A26" s="29"/>
      <c r="B26" s="24" t="s">
        <v>150</v>
      </c>
      <c r="C26" s="29"/>
      <c r="D26" s="29"/>
      <c r="E26" s="29"/>
      <c r="F26" s="29"/>
    </row>
    <row r="27" spans="1:7" x14ac:dyDescent="0.2">
      <c r="A27" s="29" t="s">
        <v>132</v>
      </c>
      <c r="B27" s="24" t="s">
        <v>133</v>
      </c>
      <c r="C27" s="29"/>
      <c r="D27" s="29"/>
      <c r="E27" s="29"/>
      <c r="F27" s="29"/>
    </row>
    <row r="28" spans="1:7" x14ac:dyDescent="0.2">
      <c r="A28" s="29" t="s">
        <v>134</v>
      </c>
      <c r="B28" s="24" t="s">
        <v>135</v>
      </c>
      <c r="C28" s="29"/>
      <c r="D28" s="29"/>
      <c r="E28" s="29"/>
      <c r="F28" s="29"/>
    </row>
    <row r="29" spans="1:7" x14ac:dyDescent="0.2">
      <c r="A29" s="29" t="s">
        <v>136</v>
      </c>
      <c r="B29" s="24" t="s">
        <v>137</v>
      </c>
      <c r="C29" s="29"/>
      <c r="D29" s="29"/>
      <c r="E29" s="29"/>
      <c r="F29" s="29"/>
    </row>
    <row r="30" spans="1:7" x14ac:dyDescent="0.2">
      <c r="A30" s="29"/>
      <c r="C30" s="29"/>
      <c r="D30" s="29"/>
      <c r="E30" s="29"/>
      <c r="F30" s="29"/>
    </row>
    <row r="31" spans="1:7" x14ac:dyDescent="0.2">
      <c r="A31" s="29"/>
      <c r="C31" s="29"/>
      <c r="D31" s="29"/>
      <c r="E31" s="29"/>
      <c r="F31" s="29"/>
    </row>
    <row r="32" spans="1:7" x14ac:dyDescent="0.2">
      <c r="A32" s="25" t="s">
        <v>14</v>
      </c>
      <c r="B32" s="25"/>
      <c r="C32" s="25"/>
      <c r="D32" s="25"/>
      <c r="E32" s="25"/>
      <c r="F32" s="25"/>
      <c r="G32" s="25"/>
    </row>
    <row r="34" spans="1:7" s="29" customFormat="1" x14ac:dyDescent="0.2">
      <c r="A34" s="29" t="s">
        <v>25</v>
      </c>
      <c r="B34" s="29" t="s">
        <v>38</v>
      </c>
      <c r="C34" s="29" t="s">
        <v>2</v>
      </c>
      <c r="D34" s="30" t="s">
        <v>9</v>
      </c>
      <c r="E34" s="30" t="s">
        <v>3</v>
      </c>
      <c r="F34" s="30" t="s">
        <v>4</v>
      </c>
      <c r="G34" s="30" t="s">
        <v>16</v>
      </c>
    </row>
    <row r="35" spans="1:7" x14ac:dyDescent="0.2">
      <c r="A35" s="24" t="str">
        <f>MatP8815C0Colour</f>
        <v>Not Specified</v>
      </c>
      <c r="B35" s="24" t="str">
        <f>IF(MatP8815C0Code=0,"",MatP8815C0Code)</f>
        <v/>
      </c>
      <c r="C35" s="24" t="str">
        <f>MatP8815C0Desc</f>
        <v>TLE Tile</v>
      </c>
      <c r="D35" s="31">
        <v>1086</v>
      </c>
      <c r="E35" s="32">
        <f>MatP8815C0Price</f>
        <v>1.2</v>
      </c>
      <c r="F35" s="33" t="str">
        <f>MatP8815C0PerText</f>
        <v>Each</v>
      </c>
      <c r="G35" s="32">
        <f t="shared" ref="G35:G52" si="0">D35 * E35</f>
        <v>1303.2</v>
      </c>
    </row>
    <row r="36" spans="1:7" x14ac:dyDescent="0.2">
      <c r="A36" s="24" t="str">
        <f>MatP8870C0Colour</f>
        <v>Not Specified</v>
      </c>
      <c r="B36" s="24" t="str">
        <f>IF(MatP8870C0Code=0,"",MatP8870C0Code)</f>
        <v/>
      </c>
      <c r="C36" s="24" t="str">
        <f>MatP8870C0Desc</f>
        <v>Ridge Tile (450mm)</v>
      </c>
      <c r="D36" s="31">
        <v>21</v>
      </c>
      <c r="E36" s="32">
        <f>MatP8870C0Price</f>
        <v>3.64</v>
      </c>
      <c r="F36" s="33" t="str">
        <f>MatP8870C0PerText</f>
        <v>Each</v>
      </c>
      <c r="G36" s="32">
        <f t="shared" si="0"/>
        <v>76.44</v>
      </c>
    </row>
    <row r="37" spans="1:7" x14ac:dyDescent="0.2">
      <c r="A37" s="24" t="str">
        <f>MatP10135C0Colour</f>
        <v>Not Specified</v>
      </c>
      <c r="B37" s="24" t="str">
        <f>IF(MatP10135C0Code=0,"",MatP10135C0Code)</f>
        <v/>
      </c>
      <c r="C37" s="24" t="str">
        <f>MatP10135C0Desc</f>
        <v>VP300 Vapour Permeable Underlay (50m x 1m)</v>
      </c>
      <c r="D37" s="31">
        <v>3</v>
      </c>
      <c r="E37" s="32">
        <f>MatP10135C0Price</f>
        <v>35</v>
      </c>
      <c r="F37" s="33" t="str">
        <f>MatP10135C0PerText</f>
        <v>Roll</v>
      </c>
      <c r="G37" s="32">
        <f t="shared" si="0"/>
        <v>105</v>
      </c>
    </row>
    <row r="38" spans="1:7" x14ac:dyDescent="0.2">
      <c r="A38" s="24" t="str">
        <f>MatP9008C0Colour</f>
        <v>Not Specified</v>
      </c>
      <c r="B38" s="24" t="str">
        <f>IF(MatP9008C0Code=0,"",MatP9008C0Code)</f>
        <v/>
      </c>
      <c r="C38" s="24" t="str">
        <f>MatP9008C0Desc</f>
        <v>Battens (50mm x 25mm)</v>
      </c>
      <c r="D38" s="31">
        <v>358</v>
      </c>
      <c r="E38" s="32">
        <f>MatP9008C0Price</f>
        <v>0.9</v>
      </c>
      <c r="F38" s="33" t="str">
        <f>MatP9008C0PerText</f>
        <v>Metre</v>
      </c>
      <c r="G38" s="32">
        <f t="shared" si="0"/>
        <v>322.2</v>
      </c>
    </row>
    <row r="39" spans="1:7" x14ac:dyDescent="0.2">
      <c r="A39" s="24" t="str">
        <f>MatP8879C15Colour</f>
        <v>Not Specified</v>
      </c>
      <c r="B39" s="24" t="str">
        <f>IF(MatP8879C15Code=0,"",MatP8879C15Code)</f>
        <v/>
      </c>
      <c r="C39" s="24" t="str">
        <f>MatP8879C15Desc</f>
        <v>Universal Dry Ridge/Hip System (6m)</v>
      </c>
      <c r="D39" s="31">
        <v>2</v>
      </c>
      <c r="E39" s="32">
        <f>MatP8879C15Price</f>
        <v>28.09</v>
      </c>
      <c r="F39" s="33" t="str">
        <f>MatP8879C15PerText</f>
        <v>Pack</v>
      </c>
      <c r="G39" s="32">
        <f t="shared" si="0"/>
        <v>56.18</v>
      </c>
    </row>
    <row r="40" spans="1:7" x14ac:dyDescent="0.2">
      <c r="A40" s="24" t="str">
        <f>MatP8857C0Colour</f>
        <v>Not Specified</v>
      </c>
      <c r="B40" s="24" t="str">
        <f>IF(MatP8857C0Code=0,"",MatP8857C0Code)</f>
        <v/>
      </c>
      <c r="C40" s="24" t="str">
        <f>MatP8857C0Desc</f>
        <v>LH Uni-Fix Dry Verge Unit</v>
      </c>
      <c r="D40" s="31">
        <v>68</v>
      </c>
      <c r="E40" s="32">
        <f>MatP8857C0Price</f>
        <v>1.1000000000000001</v>
      </c>
      <c r="F40" s="33" t="str">
        <f>MatP8857C0PerText</f>
        <v>Each</v>
      </c>
      <c r="G40" s="32">
        <f t="shared" si="0"/>
        <v>74.800000000000011</v>
      </c>
    </row>
    <row r="41" spans="1:7" x14ac:dyDescent="0.2">
      <c r="A41" s="24" t="str">
        <f>MatP8869C0Colour</f>
        <v>Not Specified</v>
      </c>
      <c r="B41" s="24" t="str">
        <f>IF(MatP8869C0Code=0,"",MatP8869C0Code)</f>
        <v/>
      </c>
      <c r="C41" s="24" t="str">
        <f>MatP8869C0Desc</f>
        <v>RH Uni-Fix Dry Verge Unit</v>
      </c>
      <c r="D41" s="31">
        <v>68</v>
      </c>
      <c r="E41" s="32">
        <f>MatP8869C0Price</f>
        <v>1.1000000000000001</v>
      </c>
      <c r="F41" s="33" t="str">
        <f>MatP8869C0PerText</f>
        <v>Each</v>
      </c>
      <c r="G41" s="32">
        <f t="shared" si="0"/>
        <v>74.800000000000011</v>
      </c>
    </row>
    <row r="42" spans="1:7" x14ac:dyDescent="0.2">
      <c r="A42" s="24" t="str">
        <f>MatP8877C0Colour</f>
        <v>Not Specified</v>
      </c>
      <c r="B42" s="24" t="str">
        <f>IF(MatP8877C0Code=0,"",MatP8877C0Code)</f>
        <v/>
      </c>
      <c r="C42" s="24" t="str">
        <f>MatP8877C0Desc</f>
        <v>Uni-Fix Universal Ridge End Cap</v>
      </c>
      <c r="D42" s="31">
        <v>2</v>
      </c>
      <c r="E42" s="32">
        <f>MatP8877C0Price</f>
        <v>1.6</v>
      </c>
      <c r="F42" s="33" t="str">
        <f>MatP8877C0PerText</f>
        <v>Each</v>
      </c>
      <c r="G42" s="32">
        <f t="shared" si="0"/>
        <v>3.2</v>
      </c>
    </row>
    <row r="43" spans="1:7" x14ac:dyDescent="0.2">
      <c r="A43" s="24" t="str">
        <f>MatP8830C20Colour</f>
        <v>Not Specified</v>
      </c>
      <c r="B43" s="24" t="str">
        <f>IF(MatP8830C20Code=0,"",MatP8830C20Code)</f>
        <v/>
      </c>
      <c r="C43" s="24" t="str">
        <f>MatP8830C20Desc</f>
        <v>Dry Verge Starter Unit</v>
      </c>
      <c r="D43" s="31">
        <v>4</v>
      </c>
      <c r="E43" s="32">
        <f>MatP8830C20Price</f>
        <v>1.51</v>
      </c>
      <c r="F43" s="33" t="str">
        <f>MatP8830C20PerText</f>
        <v>Each</v>
      </c>
      <c r="G43" s="32">
        <f t="shared" si="0"/>
        <v>6.04</v>
      </c>
    </row>
    <row r="44" spans="1:7" x14ac:dyDescent="0.2">
      <c r="A44" s="24" t="str">
        <f>MatP8820C20Colour</f>
        <v>Not Specified</v>
      </c>
      <c r="B44" s="24" t="str">
        <f>IF(MatP8820C20Code=0,"",MatP8820C20Code)</f>
        <v/>
      </c>
      <c r="C44" s="24" t="str">
        <f>MatP8820C20Desc</f>
        <v>10mm Over Fascia Vent (1m)</v>
      </c>
      <c r="D44" s="31">
        <v>19</v>
      </c>
      <c r="E44" s="32">
        <f>MatP8820C20Price</f>
        <v>1.7</v>
      </c>
      <c r="F44" s="33" t="str">
        <f>MatP8820C20PerText</f>
        <v>Each</v>
      </c>
      <c r="G44" s="32">
        <f t="shared" si="0"/>
        <v>32.299999999999997</v>
      </c>
    </row>
    <row r="45" spans="1:7" x14ac:dyDescent="0.2">
      <c r="A45" s="24" t="str">
        <f>MatP8281C0Colour</f>
        <v>Not Specified</v>
      </c>
      <c r="B45" s="24" t="str">
        <f>IF(MatP8281C0Code=0,"",MatP8281C0Code)</f>
        <v/>
      </c>
      <c r="C45" s="24" t="str">
        <f>MatP8281C0Desc</f>
        <v>Generic Eave Insulation (1m)</v>
      </c>
      <c r="D45" s="31">
        <v>19</v>
      </c>
      <c r="E45" s="32">
        <f>MatP8281C0Price</f>
        <v>5</v>
      </c>
      <c r="F45" s="33" t="str">
        <f>MatP8281C0PerText</f>
        <v>Each</v>
      </c>
      <c r="G45" s="32">
        <f t="shared" si="0"/>
        <v>95</v>
      </c>
    </row>
    <row r="46" spans="1:7" x14ac:dyDescent="0.2">
      <c r="A46" s="24" t="str">
        <f>MatP8866C20Colour</f>
        <v>Not Specified</v>
      </c>
      <c r="B46" s="24" t="str">
        <f>IF(MatP8866C20Code=0,"",MatP8866C20Code)</f>
        <v/>
      </c>
      <c r="C46" s="24" t="str">
        <f>MatP8866C20Desc</f>
        <v>Rafter Roll (6m x 600mm)</v>
      </c>
      <c r="D46" s="31">
        <v>4</v>
      </c>
      <c r="E46" s="32">
        <f>MatP8866C20Price</f>
        <v>9.5</v>
      </c>
      <c r="F46" s="33" t="str">
        <f>MatP8866C20PerText</f>
        <v>Each</v>
      </c>
      <c r="G46" s="32">
        <f t="shared" si="0"/>
        <v>38</v>
      </c>
    </row>
    <row r="47" spans="1:7" x14ac:dyDescent="0.2">
      <c r="A47" s="24" t="str">
        <f>MatP8874C20Colour</f>
        <v>Not Specified</v>
      </c>
      <c r="B47" s="24" t="str">
        <f>IF(MatP8874C20Code=0,"",MatP8874C20Code)</f>
        <v/>
      </c>
      <c r="C47" s="24" t="str">
        <f>MatP8874C20Desc</f>
        <v>Underlay Support Tray (1.5m)</v>
      </c>
      <c r="D47" s="31">
        <v>13</v>
      </c>
      <c r="E47" s="32">
        <f>MatP8874C20Price</f>
        <v>1.5</v>
      </c>
      <c r="F47" s="33" t="str">
        <f>MatP8874C20PerText</f>
        <v>Each</v>
      </c>
      <c r="G47" s="32">
        <f t="shared" si="0"/>
        <v>19.5</v>
      </c>
    </row>
    <row r="48" spans="1:7" x14ac:dyDescent="0.2">
      <c r="A48" s="24" t="str">
        <f>MatP8872C539Colour</f>
        <v>Not Specified</v>
      </c>
      <c r="B48" s="24" t="str">
        <f>IF(MatP8872C539Code=0,"",MatP8872C539Code)</f>
        <v/>
      </c>
      <c r="C48" s="24" t="str">
        <f>MatP8872C539Desc</f>
        <v>Sidelock Tile Clips (TLE)</v>
      </c>
      <c r="D48" s="31">
        <v>429</v>
      </c>
      <c r="E48" s="32">
        <f>MatP8872C539Price</f>
        <v>7.0000000000000007E-2</v>
      </c>
      <c r="F48" s="33" t="str">
        <f>MatP8872C539PerText</f>
        <v>Each</v>
      </c>
      <c r="G48" s="32">
        <f t="shared" si="0"/>
        <v>30.03</v>
      </c>
    </row>
    <row r="49" spans="1:7" x14ac:dyDescent="0.2">
      <c r="A49" s="24" t="str">
        <f>MatP8826C539Colour</f>
        <v>Not Specified</v>
      </c>
      <c r="B49" s="24" t="str">
        <f>IF(MatP8826C539Code=0,"",MatP8826C539Code)</f>
        <v/>
      </c>
      <c r="C49" s="24" t="str">
        <f>MatP8826C539Desc</f>
        <v>Metal Batten End Clips</v>
      </c>
      <c r="D49" s="31">
        <v>68</v>
      </c>
      <c r="E49" s="32">
        <f>MatP8826C539Price</f>
        <v>0.28000000000000003</v>
      </c>
      <c r="F49" s="33" t="str">
        <f>MatP8826C539PerText</f>
        <v>Each</v>
      </c>
      <c r="G49" s="32">
        <f t="shared" si="0"/>
        <v>19.040000000000003</v>
      </c>
    </row>
    <row r="50" spans="1:7" x14ac:dyDescent="0.2">
      <c r="A50" s="24" t="str">
        <f>MatP8831C539Colour</f>
        <v>Not Specified</v>
      </c>
      <c r="B50" s="24" t="str">
        <f>IF(MatP8831C539Code=0,"",MatP8831C539Code)</f>
        <v/>
      </c>
      <c r="C50" s="24" t="str">
        <f>MatP8831C539Desc</f>
        <v>Eave Clip</v>
      </c>
      <c r="D50" s="31">
        <v>64</v>
      </c>
      <c r="E50" s="32">
        <f>MatP8831C539Price</f>
        <v>0.1</v>
      </c>
      <c r="F50" s="33" t="str">
        <f>MatP8831C539PerText</f>
        <v>Each</v>
      </c>
      <c r="G50" s="32">
        <f t="shared" si="0"/>
        <v>6.4</v>
      </c>
    </row>
    <row r="51" spans="1:7" x14ac:dyDescent="0.2">
      <c r="A51" s="24" t="str">
        <f>MatP9318C0Colour</f>
        <v>Not Specified</v>
      </c>
      <c r="B51" s="24" t="str">
        <f>IF(MatP9318C0Code=0,"",MatP9318C0Code)</f>
        <v/>
      </c>
      <c r="C51" s="24" t="str">
        <f>MatP9318C0Desc</f>
        <v>45mm x 3.35mm Aluminium Nails</v>
      </c>
      <c r="D51" s="31">
        <v>3.0000000596046448</v>
      </c>
      <c r="E51" s="32">
        <f>MatP9318C0Price</f>
        <v>7.28</v>
      </c>
      <c r="F51" s="33" t="str">
        <f>MatP9318C0PerText</f>
        <v>Kg</v>
      </c>
      <c r="G51" s="32">
        <f t="shared" si="0"/>
        <v>21.840000433921816</v>
      </c>
    </row>
    <row r="52" spans="1:7" x14ac:dyDescent="0.2">
      <c r="A52" s="24" t="str">
        <f>MatP9100C0Colour</f>
        <v>Not Specified</v>
      </c>
      <c r="B52" s="24" t="str">
        <f>IF(MatP9100C0Code=0,"",MatP9100C0Code)</f>
        <v/>
      </c>
      <c r="C52" s="24" t="str">
        <f>MatP9100C0Desc</f>
        <v>Batten Nails - 65mm x 3.35mm Galvanised</v>
      </c>
      <c r="D52" s="31">
        <v>4</v>
      </c>
      <c r="E52" s="32">
        <f>MatP9100C0Price</f>
        <v>4.5</v>
      </c>
      <c r="F52" s="33" t="str">
        <f>MatP9100C0PerText</f>
        <v>Kg</v>
      </c>
      <c r="G52" s="32">
        <f t="shared" si="0"/>
        <v>18</v>
      </c>
    </row>
    <row r="53" spans="1:7" x14ac:dyDescent="0.2">
      <c r="D53" s="31"/>
      <c r="E53" s="32"/>
      <c r="F53" s="33"/>
      <c r="G53" s="32"/>
    </row>
    <row r="54" spans="1:7" x14ac:dyDescent="0.2">
      <c r="F54" s="34" t="s">
        <v>5</v>
      </c>
      <c r="G54" s="35">
        <f>SUM(G35:G53)</f>
        <v>2301.9700004339225</v>
      </c>
    </row>
    <row r="55" spans="1:7" x14ac:dyDescent="0.2">
      <c r="G55" s="34"/>
    </row>
    <row r="56" spans="1:7" x14ac:dyDescent="0.2">
      <c r="A56" s="25" t="s">
        <v>15</v>
      </c>
      <c r="B56" s="25"/>
      <c r="D56" s="25"/>
      <c r="E56" s="25"/>
      <c r="F56" s="25"/>
      <c r="G56" s="25"/>
    </row>
    <row r="58" spans="1:7" x14ac:dyDescent="0.2">
      <c r="A58" s="102" t="s">
        <v>6</v>
      </c>
      <c r="B58" s="102"/>
      <c r="C58" s="102"/>
      <c r="D58" s="34" t="s">
        <v>7</v>
      </c>
      <c r="E58" s="34" t="s">
        <v>9</v>
      </c>
      <c r="F58" s="34" t="s">
        <v>8</v>
      </c>
      <c r="G58" s="34" t="s">
        <v>16</v>
      </c>
    </row>
    <row r="59" spans="1:7" x14ac:dyDescent="0.2">
      <c r="A59" s="103" t="str">
        <f>LabP8815R6L1G1Desc</f>
        <v>Main Area</v>
      </c>
      <c r="B59" s="103"/>
      <c r="C59" s="103"/>
      <c r="D59" s="36">
        <f>LabP8815R6L1G1Rate</f>
        <v>9</v>
      </c>
      <c r="E59" s="37">
        <f>'TIV-Main Roof'!Area</f>
        <v>105.64</v>
      </c>
      <c r="F59" s="27" t="str">
        <f xml:space="preserve"> "" &amp; LabP8815R6L1G1Per</f>
        <v>m²</v>
      </c>
      <c r="G59" s="36">
        <f>D59 * E59</f>
        <v>950.76</v>
      </c>
    </row>
    <row r="60" spans="1:7" x14ac:dyDescent="0.2">
      <c r="A60" s="24" t="str">
        <f>LabP8815R0L1G2Desc</f>
        <v>Eave</v>
      </c>
      <c r="D60" s="36">
        <f>LabP8815R0L1G2Rate</f>
        <v>2.5</v>
      </c>
      <c r="E60" s="37">
        <f>'TIV-Main Roof'!Eave</f>
        <v>18.600000000000001</v>
      </c>
      <c r="F60" s="27" t="str">
        <f xml:space="preserve"> "" &amp; LabP8815R0L1G2Per</f>
        <v>m</v>
      </c>
      <c r="G60" s="36">
        <f>D60 * E60</f>
        <v>46.5</v>
      </c>
    </row>
    <row r="61" spans="1:7" x14ac:dyDescent="0.2">
      <c r="A61" s="24" t="str">
        <f>LabP8815R0L1G3Desc</f>
        <v>Verge</v>
      </c>
      <c r="D61" s="36">
        <f>LabP8815R0L1G3Rate</f>
        <v>2.5</v>
      </c>
      <c r="E61" s="37">
        <f>LeftVerge+RightVerge</f>
        <v>22.72</v>
      </c>
      <c r="F61" s="27" t="str">
        <f xml:space="preserve"> "" &amp; LabP8815R0L1G3Per</f>
        <v>m</v>
      </c>
      <c r="G61" s="36">
        <f>D61 * E61</f>
        <v>56.8</v>
      </c>
    </row>
    <row r="62" spans="1:7" x14ac:dyDescent="0.2">
      <c r="A62" s="24" t="str">
        <f>LabP8815R0L1G8Desc</f>
        <v>Duo Ridge</v>
      </c>
      <c r="D62" s="36">
        <f>LabP8815R0L1G8Rate</f>
        <v>2.5</v>
      </c>
      <c r="E62" s="37">
        <f>'TIV-Main Roof'!DuoRidge</f>
        <v>9.3000000000000007</v>
      </c>
      <c r="F62" s="27" t="str">
        <f xml:space="preserve"> "" &amp; LabP8815R0L1G8Per</f>
        <v>m</v>
      </c>
      <c r="G62" s="36">
        <f>D62 * E62</f>
        <v>23.25</v>
      </c>
    </row>
    <row r="63" spans="1:7" x14ac:dyDescent="0.2">
      <c r="D63" s="36"/>
      <c r="E63" s="37"/>
      <c r="F63" s="27"/>
      <c r="G63" s="36"/>
    </row>
    <row r="64" spans="1:7" x14ac:dyDescent="0.2">
      <c r="A64" s="103"/>
      <c r="B64" s="103"/>
      <c r="C64" s="103"/>
      <c r="D64" s="36"/>
      <c r="E64" s="37"/>
      <c r="G64" s="36"/>
    </row>
    <row r="65" spans="1:7" x14ac:dyDescent="0.2">
      <c r="F65" s="34" t="s">
        <v>5</v>
      </c>
      <c r="G65" s="35">
        <f>SUM(G59:G64)</f>
        <v>1077.31</v>
      </c>
    </row>
    <row r="69" spans="1:7" x14ac:dyDescent="0.2">
      <c r="A69" s="34"/>
      <c r="B69" s="38"/>
    </row>
    <row r="71" spans="1:7" x14ac:dyDescent="0.2">
      <c r="A71" s="34"/>
      <c r="B71" s="38"/>
    </row>
    <row r="73" spans="1:7" x14ac:dyDescent="0.2">
      <c r="A73" s="34"/>
      <c r="B73" s="38"/>
    </row>
    <row r="75" spans="1:7" x14ac:dyDescent="0.2">
      <c r="A75" s="34"/>
      <c r="B75" s="38"/>
    </row>
    <row r="78" spans="1:7" x14ac:dyDescent="0.2">
      <c r="A78" s="34"/>
      <c r="B78" s="38"/>
      <c r="C78" s="39"/>
    </row>
    <row r="80" spans="1:7" x14ac:dyDescent="0.2">
      <c r="A80" s="34"/>
      <c r="B80" s="38"/>
    </row>
    <row r="82" spans="1:3" x14ac:dyDescent="0.2">
      <c r="A82" s="34"/>
      <c r="B82" s="38"/>
      <c r="C82" s="39"/>
    </row>
    <row r="84" spans="1:3" x14ac:dyDescent="0.2">
      <c r="A84" s="34"/>
      <c r="B84" s="38"/>
    </row>
    <row r="86" spans="1:3" x14ac:dyDescent="0.2">
      <c r="A86" s="34"/>
      <c r="B86" s="38"/>
    </row>
    <row r="89" spans="1:3" x14ac:dyDescent="0.2">
      <c r="A89" s="34"/>
      <c r="B89" s="38"/>
    </row>
    <row r="91" spans="1:3" x14ac:dyDescent="0.2">
      <c r="A91" s="34"/>
      <c r="B91" s="38"/>
    </row>
    <row r="93" spans="1:3" x14ac:dyDescent="0.2">
      <c r="A93" s="34"/>
      <c r="B93" s="38"/>
      <c r="C93" s="39"/>
    </row>
    <row r="96" spans="1:3" x14ac:dyDescent="0.2">
      <c r="A96" s="34"/>
      <c r="B96" s="40"/>
      <c r="C96" s="23"/>
    </row>
    <row r="99" spans="1:2" x14ac:dyDescent="0.2">
      <c r="A99" s="39"/>
      <c r="B99" s="41"/>
    </row>
  </sheetData>
  <mergeCells count="5">
    <mergeCell ref="B4:F4"/>
    <mergeCell ref="B5:F5"/>
    <mergeCell ref="A58:C58"/>
    <mergeCell ref="A59:C59"/>
    <mergeCell ref="A64:C64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4A965-66FB-4F2C-80FB-1363E2D93FD3}">
  <dimension ref="A1:G101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tr">
        <f>IF(ISBLANK(CustomerName),"",CustomerName)</f>
        <v>Example Customer</v>
      </c>
      <c r="C1" s="39"/>
      <c r="D1" s="39"/>
      <c r="E1" s="39"/>
      <c r="F1" s="39"/>
    </row>
    <row r="2" spans="1:7" x14ac:dyDescent="0.2">
      <c r="A2" s="23" t="s">
        <v>64</v>
      </c>
      <c r="B2" s="39" t="str">
        <f>IF(ISBLANK(SiteReference),"",SiteReference)</f>
        <v>Site Address Here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f>IF(ISBLANK(SiteName),"",SiteName)</f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219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156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2.1</v>
      </c>
      <c r="C9" s="23"/>
      <c r="D9" s="26"/>
    </row>
    <row r="10" spans="1:7" x14ac:dyDescent="0.2">
      <c r="A10" s="23" t="s">
        <v>114</v>
      </c>
      <c r="B10" s="24">
        <v>1.8</v>
      </c>
      <c r="C10" s="23"/>
      <c r="D10" s="26"/>
    </row>
    <row r="11" spans="1:7" x14ac:dyDescent="0.2">
      <c r="A11" s="23" t="s">
        <v>115</v>
      </c>
      <c r="B11" s="24">
        <v>1.17</v>
      </c>
      <c r="C11" s="23"/>
      <c r="D11" s="26"/>
    </row>
    <row r="12" spans="1:7" x14ac:dyDescent="0.2">
      <c r="A12" s="23" t="s">
        <v>116</v>
      </c>
      <c r="B12" s="24">
        <v>1.17</v>
      </c>
      <c r="C12" s="23"/>
      <c r="D12" s="26"/>
    </row>
    <row r="13" spans="1:7" x14ac:dyDescent="0.2">
      <c r="A13" s="23" t="s">
        <v>117</v>
      </c>
      <c r="B13" s="24">
        <v>0.9</v>
      </c>
      <c r="C13" s="23"/>
      <c r="D13" s="26"/>
    </row>
    <row r="14" spans="1:7" x14ac:dyDescent="0.2">
      <c r="A14" s="23" t="s">
        <v>153</v>
      </c>
      <c r="B14" s="24">
        <v>2.34</v>
      </c>
      <c r="C14" s="23"/>
      <c r="D14" s="26"/>
    </row>
    <row r="15" spans="1:7" x14ac:dyDescent="0.2">
      <c r="A15" s="23" t="s">
        <v>119</v>
      </c>
      <c r="B15" s="24">
        <v>600</v>
      </c>
      <c r="C15" s="23"/>
      <c r="D15" s="26"/>
    </row>
    <row r="16" spans="1:7" x14ac:dyDescent="0.2">
      <c r="A16" s="23" t="s">
        <v>120</v>
      </c>
      <c r="B16" s="24">
        <v>40</v>
      </c>
      <c r="C16" s="23"/>
      <c r="D16" s="26"/>
    </row>
    <row r="17" spans="1:7" x14ac:dyDescent="0.2">
      <c r="A17" s="23"/>
      <c r="C17" s="23"/>
      <c r="D17" s="26"/>
    </row>
    <row r="18" spans="1:7" x14ac:dyDescent="0.2">
      <c r="A18" s="23"/>
      <c r="B18" s="27"/>
      <c r="C18" s="23"/>
      <c r="D18" s="26"/>
    </row>
    <row r="19" spans="1:7" x14ac:dyDescent="0.2">
      <c r="A19" s="28" t="s">
        <v>10</v>
      </c>
      <c r="B19" s="28"/>
      <c r="C19" s="28"/>
      <c r="D19" s="28"/>
      <c r="E19" s="28"/>
      <c r="F19" s="28"/>
      <c r="G19" s="28"/>
    </row>
    <row r="20" spans="1:7" x14ac:dyDescent="0.2">
      <c r="A20" s="28"/>
      <c r="B20" s="28"/>
      <c r="C20" s="28"/>
      <c r="D20" s="28"/>
      <c r="E20" s="28"/>
      <c r="F20" s="28"/>
      <c r="G20" s="28"/>
    </row>
    <row r="21" spans="1:7" x14ac:dyDescent="0.2">
      <c r="A21" s="29" t="s">
        <v>121</v>
      </c>
      <c r="B21" s="24" t="s">
        <v>122</v>
      </c>
      <c r="C21" s="29"/>
      <c r="D21" s="29"/>
      <c r="E21" s="29"/>
      <c r="F21" s="29"/>
    </row>
    <row r="22" spans="1:7" x14ac:dyDescent="0.2">
      <c r="A22" s="29" t="s">
        <v>123</v>
      </c>
      <c r="B22" s="24" t="s">
        <v>124</v>
      </c>
      <c r="C22" s="29"/>
      <c r="D22" s="29"/>
      <c r="E22" s="29"/>
      <c r="F22" s="29"/>
    </row>
    <row r="23" spans="1:7" x14ac:dyDescent="0.2">
      <c r="A23" s="29"/>
      <c r="B23" s="24" t="s">
        <v>154</v>
      </c>
      <c r="C23" s="29"/>
      <c r="D23" s="29"/>
      <c r="E23" s="29"/>
      <c r="F23" s="29"/>
    </row>
    <row r="24" spans="1:7" x14ac:dyDescent="0.2">
      <c r="A24" s="29" t="s">
        <v>126</v>
      </c>
      <c r="B24" s="24" t="s">
        <v>127</v>
      </c>
      <c r="C24" s="29"/>
      <c r="D24" s="29"/>
      <c r="E24" s="29"/>
      <c r="F24" s="29"/>
    </row>
    <row r="25" spans="1:7" x14ac:dyDescent="0.2">
      <c r="A25" s="29"/>
      <c r="B25" s="24" t="s">
        <v>67</v>
      </c>
      <c r="C25" s="29"/>
      <c r="D25" s="29"/>
      <c r="E25" s="29"/>
      <c r="F25" s="29"/>
    </row>
    <row r="26" spans="1:7" x14ac:dyDescent="0.2">
      <c r="A26" s="29" t="s">
        <v>129</v>
      </c>
      <c r="B26" s="24" t="s">
        <v>130</v>
      </c>
      <c r="C26" s="29"/>
      <c r="D26" s="29"/>
      <c r="E26" s="29"/>
      <c r="F26" s="29"/>
    </row>
    <row r="27" spans="1:7" x14ac:dyDescent="0.2">
      <c r="A27" s="29"/>
      <c r="B27" s="24" t="s">
        <v>131</v>
      </c>
      <c r="C27" s="29"/>
      <c r="D27" s="29"/>
      <c r="E27" s="29"/>
      <c r="F27" s="29"/>
    </row>
    <row r="28" spans="1:7" x14ac:dyDescent="0.2">
      <c r="A28" s="29" t="s">
        <v>132</v>
      </c>
      <c r="B28" s="24" t="s">
        <v>133</v>
      </c>
      <c r="C28" s="29"/>
      <c r="D28" s="29"/>
      <c r="E28" s="29"/>
      <c r="F28" s="29"/>
    </row>
    <row r="29" spans="1:7" x14ac:dyDescent="0.2">
      <c r="A29" s="29" t="s">
        <v>134</v>
      </c>
      <c r="B29" s="24" t="s">
        <v>135</v>
      </c>
      <c r="C29" s="29"/>
      <c r="D29" s="29"/>
      <c r="E29" s="29"/>
      <c r="F29" s="29"/>
    </row>
    <row r="30" spans="1:7" x14ac:dyDescent="0.2">
      <c r="A30" s="29" t="s">
        <v>143</v>
      </c>
      <c r="B30" s="24" t="s">
        <v>155</v>
      </c>
      <c r="C30" s="29"/>
      <c r="D30" s="29"/>
      <c r="E30" s="29"/>
      <c r="F30" s="29"/>
    </row>
    <row r="31" spans="1:7" x14ac:dyDescent="0.2">
      <c r="A31" s="29"/>
      <c r="C31" s="29"/>
      <c r="D31" s="29"/>
      <c r="E31" s="29"/>
      <c r="F31" s="29"/>
    </row>
    <row r="32" spans="1:7" x14ac:dyDescent="0.2">
      <c r="A32" s="29"/>
      <c r="C32" s="29"/>
      <c r="D32" s="29"/>
      <c r="E32" s="29"/>
      <c r="F32" s="29"/>
    </row>
    <row r="33" spans="1:7" x14ac:dyDescent="0.2">
      <c r="A33" s="25" t="s">
        <v>14</v>
      </c>
      <c r="B33" s="25"/>
      <c r="C33" s="25"/>
      <c r="D33" s="25"/>
      <c r="E33" s="25"/>
      <c r="F33" s="25"/>
      <c r="G33" s="25"/>
    </row>
    <row r="35" spans="1:7" s="29" customFormat="1" x14ac:dyDescent="0.2">
      <c r="A35" s="29" t="s">
        <v>25</v>
      </c>
      <c r="B35" s="29" t="s">
        <v>38</v>
      </c>
      <c r="C35" s="29" t="s">
        <v>2</v>
      </c>
      <c r="D35" s="30" t="s">
        <v>9</v>
      </c>
      <c r="E35" s="30" t="s">
        <v>3</v>
      </c>
      <c r="F35" s="30" t="s">
        <v>4</v>
      </c>
      <c r="G35" s="30" t="s">
        <v>16</v>
      </c>
    </row>
    <row r="36" spans="1:7" x14ac:dyDescent="0.2">
      <c r="A36" s="24" t="str">
        <f>MatP8815C0Colour</f>
        <v>Not Specified</v>
      </c>
      <c r="B36" s="24" t="str">
        <f>IF(MatP8815C0Code=0,"",MatP8815C0Code)</f>
        <v/>
      </c>
      <c r="C36" s="24" t="str">
        <f>MatP8815C0Desc</f>
        <v>TLE Tile</v>
      </c>
      <c r="D36" s="31">
        <v>25</v>
      </c>
      <c r="E36" s="32">
        <f>MatP8815C0Price</f>
        <v>1.2</v>
      </c>
      <c r="F36" s="33" t="str">
        <f>MatP8815C0PerText</f>
        <v>Each</v>
      </c>
      <c r="G36" s="32">
        <f t="shared" ref="G36:G51" si="0">D36 * E36</f>
        <v>30</v>
      </c>
    </row>
    <row r="37" spans="1:7" x14ac:dyDescent="0.2">
      <c r="A37" s="24" t="str">
        <f>MatP8870C0Colour</f>
        <v>Not Specified</v>
      </c>
      <c r="B37" s="24" t="str">
        <f>IF(MatP8870C0Code=0,"",MatP8870C0Code)</f>
        <v/>
      </c>
      <c r="C37" s="24" t="str">
        <f>MatP8870C0Desc</f>
        <v>Ridge Tile (450mm)</v>
      </c>
      <c r="D37" s="31">
        <v>2</v>
      </c>
      <c r="E37" s="32">
        <f>MatP8870C0Price</f>
        <v>3.64</v>
      </c>
      <c r="F37" s="33" t="str">
        <f>MatP8870C0PerText</f>
        <v>Each</v>
      </c>
      <c r="G37" s="32">
        <f t="shared" si="0"/>
        <v>7.28</v>
      </c>
    </row>
    <row r="38" spans="1:7" x14ac:dyDescent="0.2">
      <c r="A38" s="24" t="str">
        <f>MatP9008C0Colour</f>
        <v>Not Specified</v>
      </c>
      <c r="B38" s="24" t="str">
        <f>IF(MatP9008C0Code=0,"",MatP9008C0Code)</f>
        <v/>
      </c>
      <c r="C38" s="24" t="str">
        <f>MatP9008C0Desc</f>
        <v>Battens (50mm x 25mm)</v>
      </c>
      <c r="D38" s="31">
        <v>9</v>
      </c>
      <c r="E38" s="32">
        <f>MatP9008C0Price</f>
        <v>0.9</v>
      </c>
      <c r="F38" s="33" t="str">
        <f>MatP9008C0PerText</f>
        <v>Metre</v>
      </c>
      <c r="G38" s="32">
        <f t="shared" si="0"/>
        <v>8.1</v>
      </c>
    </row>
    <row r="39" spans="1:7" x14ac:dyDescent="0.2">
      <c r="A39" s="24" t="str">
        <f>MatP8879C15Colour</f>
        <v>Not Specified</v>
      </c>
      <c r="B39" s="24" t="str">
        <f>IF(MatP8879C15Code=0,"",MatP8879C15Code)</f>
        <v/>
      </c>
      <c r="C39" s="24" t="str">
        <f>MatP8879C15Desc</f>
        <v>Universal Dry Ridge/Hip System (6m)</v>
      </c>
      <c r="D39" s="31">
        <v>1</v>
      </c>
      <c r="E39" s="32">
        <f>MatP8879C15Price</f>
        <v>28.09</v>
      </c>
      <c r="F39" s="33" t="str">
        <f>MatP8879C15PerText</f>
        <v>Pack</v>
      </c>
      <c r="G39" s="32">
        <f t="shared" si="0"/>
        <v>28.09</v>
      </c>
    </row>
    <row r="40" spans="1:7" x14ac:dyDescent="0.2">
      <c r="A40" s="24" t="str">
        <f>MatP8857C0Colour</f>
        <v>Not Specified</v>
      </c>
      <c r="B40" s="24" t="str">
        <f>IF(MatP8857C0Code=0,"",MatP8857C0Code)</f>
        <v/>
      </c>
      <c r="C40" s="24" t="str">
        <f>MatP8857C0Desc</f>
        <v>LH Uni-Fix Dry Verge Unit</v>
      </c>
      <c r="D40" s="31">
        <v>8</v>
      </c>
      <c r="E40" s="32">
        <f>MatP8857C0Price</f>
        <v>1.1000000000000001</v>
      </c>
      <c r="F40" s="33" t="str">
        <f>MatP8857C0PerText</f>
        <v>Each</v>
      </c>
      <c r="G40" s="32">
        <f t="shared" si="0"/>
        <v>8.8000000000000007</v>
      </c>
    </row>
    <row r="41" spans="1:7" x14ac:dyDescent="0.2">
      <c r="A41" s="24" t="str">
        <f>MatP8869C0Colour</f>
        <v>Not Specified</v>
      </c>
      <c r="B41" s="24" t="str">
        <f>IF(MatP8869C0Code=0,"",MatP8869C0Code)</f>
        <v/>
      </c>
      <c r="C41" s="24" t="str">
        <f>MatP8869C0Desc</f>
        <v>RH Uni-Fix Dry Verge Unit</v>
      </c>
      <c r="D41" s="31">
        <v>8</v>
      </c>
      <c r="E41" s="32">
        <f>MatP8869C0Price</f>
        <v>1.1000000000000001</v>
      </c>
      <c r="F41" s="33" t="str">
        <f>MatP8869C0PerText</f>
        <v>Each</v>
      </c>
      <c r="G41" s="32">
        <f t="shared" si="0"/>
        <v>8.8000000000000007</v>
      </c>
    </row>
    <row r="42" spans="1:7" x14ac:dyDescent="0.2">
      <c r="A42" s="24" t="str">
        <f>MatP8877C0Colour</f>
        <v>Not Specified</v>
      </c>
      <c r="B42" s="24" t="str">
        <f>IF(MatP8877C0Code=0,"",MatP8877C0Code)</f>
        <v/>
      </c>
      <c r="C42" s="24" t="str">
        <f>MatP8877C0Desc</f>
        <v>Uni-Fix Universal Ridge End Cap</v>
      </c>
      <c r="D42" s="31">
        <v>1</v>
      </c>
      <c r="E42" s="32">
        <f>MatP8877C0Price</f>
        <v>1.6</v>
      </c>
      <c r="F42" s="33" t="str">
        <f>MatP8877C0PerText</f>
        <v>Each</v>
      </c>
      <c r="G42" s="32">
        <f t="shared" si="0"/>
        <v>1.6</v>
      </c>
    </row>
    <row r="43" spans="1:7" x14ac:dyDescent="0.2">
      <c r="A43" s="24" t="str">
        <f>MatP8830C20Colour</f>
        <v>Not Specified</v>
      </c>
      <c r="B43" s="24" t="str">
        <f>IF(MatP8830C20Code=0,"",MatP8830C20Code)</f>
        <v/>
      </c>
      <c r="C43" s="24" t="str">
        <f>MatP8830C20Desc</f>
        <v>Dry Verge Starter Unit</v>
      </c>
      <c r="D43" s="31">
        <v>2</v>
      </c>
      <c r="E43" s="32">
        <f>MatP8830C20Price</f>
        <v>1.51</v>
      </c>
      <c r="F43" s="33" t="str">
        <f>MatP8830C20PerText</f>
        <v>Each</v>
      </c>
      <c r="G43" s="32">
        <f t="shared" si="0"/>
        <v>3.02</v>
      </c>
    </row>
    <row r="44" spans="1:7" x14ac:dyDescent="0.2">
      <c r="A44" s="24" t="str">
        <f>MatP8281C0Colour</f>
        <v>Not Specified</v>
      </c>
      <c r="B44" s="24" t="str">
        <f>IF(MatP8281C0Code=0,"",MatP8281C0Code)</f>
        <v/>
      </c>
      <c r="C44" s="24" t="str">
        <f>MatP8281C0Desc</f>
        <v>Generic Eave Insulation (1m)</v>
      </c>
      <c r="D44" s="31">
        <v>2</v>
      </c>
      <c r="E44" s="32">
        <f>MatP8281C0Price</f>
        <v>5</v>
      </c>
      <c r="F44" s="33" t="str">
        <f>MatP8281C0PerText</f>
        <v>Each</v>
      </c>
      <c r="G44" s="32">
        <f t="shared" si="0"/>
        <v>10</v>
      </c>
    </row>
    <row r="45" spans="1:7" x14ac:dyDescent="0.2">
      <c r="A45" s="24" t="str">
        <f>MatP8874C20Colour</f>
        <v>Not Specified</v>
      </c>
      <c r="B45" s="24" t="str">
        <f>IF(MatP8874C20Code=0,"",MatP8874C20Code)</f>
        <v/>
      </c>
      <c r="C45" s="24" t="str">
        <f>MatP8874C20Desc</f>
        <v>Underlay Support Tray (1.5m)</v>
      </c>
      <c r="D45" s="31">
        <v>2</v>
      </c>
      <c r="E45" s="32">
        <f>MatP8874C20Price</f>
        <v>1.5</v>
      </c>
      <c r="F45" s="33" t="str">
        <f>MatP8874C20PerText</f>
        <v>Each</v>
      </c>
      <c r="G45" s="32">
        <f t="shared" si="0"/>
        <v>3</v>
      </c>
    </row>
    <row r="46" spans="1:7" x14ac:dyDescent="0.2">
      <c r="A46" s="24" t="str">
        <f>MatP8826C539Colour</f>
        <v>Not Specified</v>
      </c>
      <c r="B46" s="24" t="str">
        <f>IF(MatP8826C539Code=0,"",MatP8826C539Code)</f>
        <v/>
      </c>
      <c r="C46" s="24" t="str">
        <f>MatP8826C539Desc</f>
        <v>Metal Batten End Clips</v>
      </c>
      <c r="D46" s="31">
        <v>8</v>
      </c>
      <c r="E46" s="32">
        <f>MatP8826C539Price</f>
        <v>0.28000000000000003</v>
      </c>
      <c r="F46" s="33" t="str">
        <f>MatP8826C539PerText</f>
        <v>Each</v>
      </c>
      <c r="G46" s="32">
        <f t="shared" si="0"/>
        <v>2.2400000000000002</v>
      </c>
    </row>
    <row r="47" spans="1:7" x14ac:dyDescent="0.2">
      <c r="A47" s="24" t="str">
        <f>MatP8831C539Colour</f>
        <v>Not Specified</v>
      </c>
      <c r="B47" s="24" t="str">
        <f>IF(MatP8831C539Code=0,"",MatP8831C539Code)</f>
        <v/>
      </c>
      <c r="C47" s="24" t="str">
        <f>MatP8831C539Desc</f>
        <v>Eave Clip</v>
      </c>
      <c r="D47" s="31">
        <v>6</v>
      </c>
      <c r="E47" s="32">
        <f>MatP8831C539Price</f>
        <v>0.1</v>
      </c>
      <c r="F47" s="33" t="str">
        <f>MatP8831C539PerText</f>
        <v>Each</v>
      </c>
      <c r="G47" s="32">
        <f t="shared" si="0"/>
        <v>0.60000000000000009</v>
      </c>
    </row>
    <row r="48" spans="1:7" x14ac:dyDescent="0.2">
      <c r="A48" s="24" t="str">
        <f>MatP9318C0Colour</f>
        <v>Not Specified</v>
      </c>
      <c r="B48" s="24" t="str">
        <f>IF(MatP9318C0Code=0,"",MatP9318C0Code)</f>
        <v/>
      </c>
      <c r="C48" s="24" t="str">
        <f>MatP9318C0Desc</f>
        <v>45mm x 3.35mm Aluminium Nails</v>
      </c>
      <c r="D48" s="31">
        <v>1</v>
      </c>
      <c r="E48" s="32">
        <f>MatP9318C0Price</f>
        <v>7.28</v>
      </c>
      <c r="F48" s="33" t="str">
        <f>MatP9318C0PerText</f>
        <v>Kg</v>
      </c>
      <c r="G48" s="32">
        <f t="shared" si="0"/>
        <v>7.28</v>
      </c>
    </row>
    <row r="49" spans="1:7" x14ac:dyDescent="0.2">
      <c r="A49" s="24" t="str">
        <f>MatP9100C0Colour</f>
        <v>Not Specified</v>
      </c>
      <c r="B49" s="24" t="str">
        <f>IF(MatP9100C0Code=0,"",MatP9100C0Code)</f>
        <v/>
      </c>
      <c r="C49" s="24" t="str">
        <f>MatP9100C0Desc</f>
        <v>Batten Nails - 65mm x 3.35mm Galvanised</v>
      </c>
      <c r="D49" s="31">
        <v>1</v>
      </c>
      <c r="E49" s="32">
        <f>MatP9100C0Price</f>
        <v>4.5</v>
      </c>
      <c r="F49" s="33" t="str">
        <f>MatP9100C0PerText</f>
        <v>Kg</v>
      </c>
      <c r="G49" s="32">
        <f t="shared" si="0"/>
        <v>4.5</v>
      </c>
    </row>
    <row r="50" spans="1:7" x14ac:dyDescent="0.2">
      <c r="A50" s="24" t="str">
        <f>MatP9066C92Colour</f>
        <v>Not Specified</v>
      </c>
      <c r="B50" s="24" t="str">
        <f>IF(MatP9066C92Code=0,"",MatP9066C92Code)</f>
        <v/>
      </c>
      <c r="C50" s="24" t="str">
        <f>MatP9066C92Desc</f>
        <v>Lead Code 4 - 300mm (6m)</v>
      </c>
      <c r="D50" s="31">
        <v>3</v>
      </c>
      <c r="E50" s="32">
        <f>MatP9066C92Price</f>
        <v>15.21</v>
      </c>
      <c r="F50" s="33" t="str">
        <f>MatP9066C92PerText</f>
        <v>Metre</v>
      </c>
      <c r="G50" s="32">
        <f t="shared" si="0"/>
        <v>45.63</v>
      </c>
    </row>
    <row r="51" spans="1:7" x14ac:dyDescent="0.2">
      <c r="A51" s="24" t="str">
        <f>MatLeadRidgeApexSaddleColour</f>
        <v>Not Specified</v>
      </c>
      <c r="B51" s="24" t="str">
        <f>IF(MatLeadRidgeApexSaddleCode=0,"",MatLeadRidgeApexSaddleCode)</f>
        <v/>
      </c>
      <c r="C51" s="24" t="str">
        <f>MatLeadRidgeApexSaddleDesc</f>
        <v>Lead Ridge Apex Saddle</v>
      </c>
      <c r="D51" s="31">
        <v>1</v>
      </c>
      <c r="E51" s="32">
        <f>MatLeadRidgeApexSaddlePrice</f>
        <v>15</v>
      </c>
      <c r="F51" s="33" t="str">
        <f>MatLeadRidgeApexSaddlePerText</f>
        <v>Each</v>
      </c>
      <c r="G51" s="32">
        <f t="shared" si="0"/>
        <v>15</v>
      </c>
    </row>
    <row r="52" spans="1:7" x14ac:dyDescent="0.2">
      <c r="D52" s="31"/>
      <c r="E52" s="32"/>
      <c r="F52" s="33"/>
      <c r="G52" s="32"/>
    </row>
    <row r="53" spans="1:7" x14ac:dyDescent="0.2">
      <c r="F53" s="34" t="s">
        <v>5</v>
      </c>
      <c r="G53" s="35">
        <f>SUM(G36:G52)</f>
        <v>183.93999999999997</v>
      </c>
    </row>
    <row r="54" spans="1:7" x14ac:dyDescent="0.2">
      <c r="G54" s="34"/>
    </row>
    <row r="55" spans="1:7" x14ac:dyDescent="0.2">
      <c r="A55" s="25" t="s">
        <v>15</v>
      </c>
      <c r="B55" s="25"/>
      <c r="D55" s="25"/>
      <c r="E55" s="25"/>
      <c r="F55" s="25"/>
      <c r="G55" s="25"/>
    </row>
    <row r="57" spans="1:7" x14ac:dyDescent="0.2">
      <c r="A57" s="102" t="s">
        <v>6</v>
      </c>
      <c r="B57" s="102"/>
      <c r="C57" s="102"/>
      <c r="D57" s="34" t="s">
        <v>7</v>
      </c>
      <c r="E57" s="34" t="s">
        <v>9</v>
      </c>
      <c r="F57" s="34" t="s">
        <v>8</v>
      </c>
      <c r="G57" s="34" t="s">
        <v>16</v>
      </c>
    </row>
    <row r="58" spans="1:7" x14ac:dyDescent="0.2">
      <c r="A58" s="103" t="str">
        <f>LabP8815R6L1G1Desc</f>
        <v>Main Area</v>
      </c>
      <c r="B58" s="103"/>
      <c r="C58" s="103"/>
      <c r="D58" s="36">
        <f>LabP8815R6L1G1Rate</f>
        <v>9</v>
      </c>
      <c r="E58" s="37">
        <f>'TIV-Porch (Gable)'!Area</f>
        <v>2.1</v>
      </c>
      <c r="F58" s="27" t="str">
        <f xml:space="preserve"> "" &amp; LabP8815R6L1G1Per</f>
        <v>m²</v>
      </c>
      <c r="G58" s="36">
        <f t="shared" ref="G58:G64" si="1">D58 * E58</f>
        <v>18.900000000000002</v>
      </c>
    </row>
    <row r="59" spans="1:7" x14ac:dyDescent="0.2">
      <c r="A59" s="24" t="str">
        <f>LabP8815R0L1G2Desc</f>
        <v>Eave</v>
      </c>
      <c r="D59" s="36">
        <f>LabP8815R0L1G2Rate</f>
        <v>2.5</v>
      </c>
      <c r="E59" s="37">
        <f>'TIV-Porch (Gable)'!Eave</f>
        <v>1.8</v>
      </c>
      <c r="F59" s="27" t="str">
        <f xml:space="preserve"> "" &amp; LabP8815R0L1G2Per</f>
        <v>m</v>
      </c>
      <c r="G59" s="36">
        <f t="shared" si="1"/>
        <v>4.5</v>
      </c>
    </row>
    <row r="60" spans="1:7" x14ac:dyDescent="0.2">
      <c r="A60" s="24" t="str">
        <f>LabP8815R0L1G3Desc</f>
        <v>Verge</v>
      </c>
      <c r="D60" s="36">
        <f>LabP8815R0L1G3Rate</f>
        <v>2.5</v>
      </c>
      <c r="E60" s="37">
        <f>LeftVerge+RightVerge</f>
        <v>2.34</v>
      </c>
      <c r="F60" s="27" t="str">
        <f xml:space="preserve"> "" &amp; LabP8815R0L1G3Per</f>
        <v>m</v>
      </c>
      <c r="G60" s="36">
        <f t="shared" si="1"/>
        <v>5.85</v>
      </c>
    </row>
    <row r="61" spans="1:7" x14ac:dyDescent="0.2">
      <c r="A61" s="24" t="str">
        <f>LabP8815R0L1G8Desc</f>
        <v>Duo Ridge</v>
      </c>
      <c r="D61" s="36">
        <f>LabP8815R0L1G8Rate</f>
        <v>2.5</v>
      </c>
      <c r="E61" s="37">
        <f>'TIV-Porch (Gable)'!DuoRidge</f>
        <v>0.9</v>
      </c>
      <c r="F61" s="27" t="str">
        <f xml:space="preserve"> "" &amp; LabP8815R0L1G8Per</f>
        <v>m</v>
      </c>
      <c r="G61" s="36">
        <f t="shared" si="1"/>
        <v>2.25</v>
      </c>
    </row>
    <row r="62" spans="1:7" x14ac:dyDescent="0.2">
      <c r="A62" s="24" t="str">
        <f>LabP8815R0L1G10Desc</f>
        <v>Abut Courses</v>
      </c>
      <c r="D62" s="36">
        <f>LabP8815R0L1G10Rate</f>
        <v>5</v>
      </c>
      <c r="E62" s="37">
        <f>'TIV-Porch (Gable)'!AbutCourses</f>
        <v>2.34</v>
      </c>
      <c r="F62" s="27" t="str">
        <f xml:space="preserve"> "" &amp; LabP8815R0L1G10Per</f>
        <v>m</v>
      </c>
      <c r="G62" s="36">
        <f t="shared" si="1"/>
        <v>11.7</v>
      </c>
    </row>
    <row r="63" spans="1:7" x14ac:dyDescent="0.2">
      <c r="A63" s="24" t="str">
        <f>LabP8815R15L1G274Desc</f>
        <v>Step and Cover Flashing (Code 4)</v>
      </c>
      <c r="D63" s="36">
        <f>LabP8815R15L1G274Rate</f>
        <v>15</v>
      </c>
      <c r="E63" s="37">
        <v>2.34</v>
      </c>
      <c r="F63" s="27" t="str">
        <f xml:space="preserve"> "" &amp; LabP8815R15L1G274Per</f>
        <v>m</v>
      </c>
      <c r="G63" s="36">
        <f t="shared" si="1"/>
        <v>35.099999999999994</v>
      </c>
    </row>
    <row r="64" spans="1:7" x14ac:dyDescent="0.2">
      <c r="A64" s="24" t="str">
        <f>LabP8815R150LabLabourforPorchesDesc</f>
        <v>Labour for Porches</v>
      </c>
      <c r="D64" s="36">
        <f>LabP8815R150LabLabourforPorchesRate</f>
        <v>150</v>
      </c>
      <c r="E64" s="37">
        <v>1</v>
      </c>
      <c r="F64" s="27" t="str">
        <f xml:space="preserve"> "" &amp; LabP8815R150LabLabourforPorchesPer</f>
        <v/>
      </c>
      <c r="G64" s="36">
        <f t="shared" si="1"/>
        <v>150</v>
      </c>
    </row>
    <row r="65" spans="1:7" x14ac:dyDescent="0.2">
      <c r="D65" s="36"/>
      <c r="E65" s="37"/>
      <c r="F65" s="27"/>
      <c r="G65" s="36"/>
    </row>
    <row r="66" spans="1:7" x14ac:dyDescent="0.2">
      <c r="A66" s="103"/>
      <c r="B66" s="103"/>
      <c r="C66" s="103"/>
      <c r="D66" s="36"/>
      <c r="E66" s="37"/>
      <c r="G66" s="36"/>
    </row>
    <row r="67" spans="1:7" x14ac:dyDescent="0.2">
      <c r="F67" s="34" t="s">
        <v>5</v>
      </c>
      <c r="G67" s="35">
        <f>SUM(G58:G66)</f>
        <v>228.3</v>
      </c>
    </row>
    <row r="71" spans="1:7" x14ac:dyDescent="0.2">
      <c r="A71" s="34"/>
      <c r="B71" s="38"/>
    </row>
    <row r="73" spans="1:7" x14ac:dyDescent="0.2">
      <c r="A73" s="34"/>
      <c r="B73" s="38"/>
    </row>
    <row r="75" spans="1:7" x14ac:dyDescent="0.2">
      <c r="A75" s="34"/>
      <c r="B75" s="38"/>
    </row>
    <row r="77" spans="1:7" x14ac:dyDescent="0.2">
      <c r="A77" s="34"/>
      <c r="B77" s="38"/>
    </row>
    <row r="80" spans="1:7" x14ac:dyDescent="0.2">
      <c r="A80" s="34"/>
      <c r="B80" s="38"/>
      <c r="C80" s="39"/>
    </row>
    <row r="82" spans="1:3" x14ac:dyDescent="0.2">
      <c r="A82" s="34"/>
      <c r="B82" s="38"/>
    </row>
    <row r="84" spans="1:3" x14ac:dyDescent="0.2">
      <c r="A84" s="34"/>
      <c r="B84" s="38"/>
      <c r="C84" s="39"/>
    </row>
    <row r="86" spans="1:3" x14ac:dyDescent="0.2">
      <c r="A86" s="34"/>
      <c r="B86" s="38"/>
    </row>
    <row r="88" spans="1:3" x14ac:dyDescent="0.2">
      <c r="A88" s="34"/>
      <c r="B88" s="38"/>
    </row>
    <row r="91" spans="1:3" x14ac:dyDescent="0.2">
      <c r="A91" s="34"/>
      <c r="B91" s="38"/>
    </row>
    <row r="93" spans="1:3" x14ac:dyDescent="0.2">
      <c r="A93" s="34"/>
      <c r="B93" s="38"/>
    </row>
    <row r="95" spans="1:3" x14ac:dyDescent="0.2">
      <c r="A95" s="34"/>
      <c r="B95" s="38"/>
      <c r="C95" s="39"/>
    </row>
    <row r="98" spans="1:3" x14ac:dyDescent="0.2">
      <c r="A98" s="34"/>
      <c r="B98" s="40"/>
      <c r="C98" s="23"/>
    </row>
    <row r="101" spans="1:3" x14ac:dyDescent="0.2">
      <c r="A101" s="39"/>
      <c r="B101" s="41"/>
    </row>
  </sheetData>
  <mergeCells count="5">
    <mergeCell ref="B4:F4"/>
    <mergeCell ref="B5:F5"/>
    <mergeCell ref="A57:C57"/>
    <mergeCell ref="A58:C58"/>
    <mergeCell ref="A66:C66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04DDF-A610-46D8-A904-E8AC2DF469E0}">
  <dimension ref="A1:G105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tr">
        <f>IF(ISBLANK(CustomerName),"",CustomerName)</f>
        <v>Example Customer</v>
      </c>
      <c r="C1" s="39"/>
      <c r="D1" s="39"/>
      <c r="E1" s="39"/>
      <c r="F1" s="39"/>
    </row>
    <row r="2" spans="1:7" x14ac:dyDescent="0.2">
      <c r="A2" s="23" t="s">
        <v>64</v>
      </c>
      <c r="B2" s="39" t="str">
        <f>IF(ISBLANK(SiteReference),"",SiteReference)</f>
        <v>Site Address Here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f>IF(ISBLANK(SiteName),"",SiteName)</f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223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139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101.04</v>
      </c>
      <c r="C9" s="23"/>
      <c r="D9" s="26"/>
    </row>
    <row r="10" spans="1:7" x14ac:dyDescent="0.2">
      <c r="A10" s="23" t="s">
        <v>114</v>
      </c>
      <c r="B10" s="24">
        <v>13.1</v>
      </c>
      <c r="C10" s="23"/>
      <c r="D10" s="26"/>
    </row>
    <row r="11" spans="1:7" x14ac:dyDescent="0.2">
      <c r="A11" s="23" t="s">
        <v>115</v>
      </c>
      <c r="B11" s="24">
        <v>14.65</v>
      </c>
      <c r="C11" s="23"/>
      <c r="D11" s="26"/>
    </row>
    <row r="12" spans="1:7" x14ac:dyDescent="0.2">
      <c r="A12" s="23" t="s">
        <v>116</v>
      </c>
      <c r="B12" s="24">
        <v>14.65</v>
      </c>
      <c r="C12" s="23"/>
      <c r="D12" s="26"/>
    </row>
    <row r="13" spans="1:7" x14ac:dyDescent="0.2">
      <c r="A13" s="23" t="s">
        <v>158</v>
      </c>
      <c r="B13" s="24">
        <v>11.46</v>
      </c>
      <c r="C13" s="23"/>
      <c r="D13" s="26"/>
    </row>
    <row r="14" spans="1:7" x14ac:dyDescent="0.2">
      <c r="A14" s="23" t="s">
        <v>117</v>
      </c>
      <c r="B14" s="24">
        <v>13.47</v>
      </c>
      <c r="C14" s="23"/>
      <c r="D14" s="26"/>
    </row>
    <row r="15" spans="1:7" x14ac:dyDescent="0.2">
      <c r="A15" s="23" t="s">
        <v>119</v>
      </c>
      <c r="B15" s="24">
        <v>600</v>
      </c>
      <c r="C15" s="23"/>
      <c r="D15" s="26"/>
    </row>
    <row r="16" spans="1:7" x14ac:dyDescent="0.2">
      <c r="A16" s="23" t="s">
        <v>120</v>
      </c>
      <c r="B16" s="24" t="s">
        <v>222</v>
      </c>
      <c r="C16" s="23"/>
      <c r="D16" s="26"/>
    </row>
    <row r="17" spans="1:7" x14ac:dyDescent="0.2">
      <c r="A17" s="23"/>
      <c r="C17" s="23"/>
      <c r="D17" s="26"/>
    </row>
    <row r="18" spans="1:7" x14ac:dyDescent="0.2">
      <c r="A18" s="23"/>
      <c r="B18" s="27"/>
      <c r="C18" s="23"/>
      <c r="D18" s="26"/>
    </row>
    <row r="19" spans="1:7" x14ac:dyDescent="0.2">
      <c r="A19" s="28" t="s">
        <v>10</v>
      </c>
      <c r="B19" s="28"/>
      <c r="C19" s="28"/>
      <c r="D19" s="28"/>
      <c r="E19" s="28"/>
      <c r="F19" s="28"/>
      <c r="G19" s="28"/>
    </row>
    <row r="20" spans="1:7" x14ac:dyDescent="0.2">
      <c r="A20" s="28"/>
      <c r="B20" s="28"/>
      <c r="C20" s="28"/>
      <c r="D20" s="28"/>
      <c r="E20" s="28"/>
      <c r="F20" s="28"/>
      <c r="G20" s="28"/>
    </row>
    <row r="21" spans="1:7" x14ac:dyDescent="0.2">
      <c r="A21" s="29" t="s">
        <v>121</v>
      </c>
      <c r="B21" s="24" t="s">
        <v>122</v>
      </c>
      <c r="C21" s="29"/>
      <c r="D21" s="29"/>
      <c r="E21" s="29"/>
      <c r="F21" s="29"/>
    </row>
    <row r="22" spans="1:7" x14ac:dyDescent="0.2">
      <c r="A22" s="29" t="s">
        <v>123</v>
      </c>
      <c r="B22" s="24" t="s">
        <v>124</v>
      </c>
      <c r="C22" s="29"/>
      <c r="D22" s="29"/>
      <c r="E22" s="29"/>
      <c r="F22" s="29"/>
    </row>
    <row r="23" spans="1:7" x14ac:dyDescent="0.2">
      <c r="A23" s="29"/>
      <c r="B23" s="24" t="s">
        <v>125</v>
      </c>
      <c r="C23" s="29"/>
      <c r="D23" s="29"/>
      <c r="E23" s="29"/>
      <c r="F23" s="29"/>
    </row>
    <row r="24" spans="1:7" x14ac:dyDescent="0.2">
      <c r="A24" s="29" t="s">
        <v>126</v>
      </c>
      <c r="B24" s="24" t="s">
        <v>127</v>
      </c>
      <c r="C24" s="29"/>
      <c r="D24" s="29"/>
      <c r="E24" s="29"/>
      <c r="F24" s="29"/>
    </row>
    <row r="25" spans="1:7" x14ac:dyDescent="0.2">
      <c r="A25" s="29"/>
      <c r="B25" s="24" t="s">
        <v>128</v>
      </c>
      <c r="C25" s="29"/>
      <c r="D25" s="29"/>
      <c r="E25" s="29"/>
      <c r="F25" s="29"/>
    </row>
    <row r="26" spans="1:7" x14ac:dyDescent="0.2">
      <c r="A26" s="29" t="s">
        <v>129</v>
      </c>
      <c r="B26" s="24" t="s">
        <v>130</v>
      </c>
      <c r="C26" s="29"/>
      <c r="D26" s="29"/>
      <c r="E26" s="29"/>
      <c r="F26" s="29"/>
    </row>
    <row r="27" spans="1:7" x14ac:dyDescent="0.2">
      <c r="A27" s="29"/>
      <c r="B27" s="24" t="s">
        <v>159</v>
      </c>
      <c r="C27" s="29"/>
      <c r="D27" s="29"/>
      <c r="E27" s="29"/>
      <c r="F27" s="29"/>
    </row>
    <row r="28" spans="1:7" x14ac:dyDescent="0.2">
      <c r="A28" s="29" t="s">
        <v>160</v>
      </c>
      <c r="B28" s="24" t="s">
        <v>161</v>
      </c>
      <c r="C28" s="29"/>
      <c r="D28" s="29"/>
      <c r="E28" s="29"/>
      <c r="F28" s="29"/>
    </row>
    <row r="29" spans="1:7" x14ac:dyDescent="0.2">
      <c r="A29" s="29" t="s">
        <v>132</v>
      </c>
      <c r="B29" s="24" t="s">
        <v>133</v>
      </c>
      <c r="C29" s="29"/>
      <c r="D29" s="29"/>
      <c r="E29" s="29"/>
      <c r="F29" s="29"/>
    </row>
    <row r="30" spans="1:7" x14ac:dyDescent="0.2">
      <c r="A30" s="29" t="s">
        <v>134</v>
      </c>
      <c r="B30" s="24" t="s">
        <v>135</v>
      </c>
      <c r="C30" s="29"/>
      <c r="D30" s="29"/>
      <c r="E30" s="29"/>
      <c r="F30" s="29"/>
    </row>
    <row r="31" spans="1:7" x14ac:dyDescent="0.2">
      <c r="A31" s="29" t="s">
        <v>136</v>
      </c>
      <c r="B31" s="24" t="s">
        <v>137</v>
      </c>
      <c r="C31" s="29"/>
      <c r="D31" s="29"/>
      <c r="E31" s="29"/>
      <c r="F31" s="29"/>
    </row>
    <row r="32" spans="1:7" x14ac:dyDescent="0.2">
      <c r="A32" s="29"/>
      <c r="B32" s="24" t="s">
        <v>162</v>
      </c>
      <c r="C32" s="29"/>
      <c r="D32" s="29"/>
      <c r="E32" s="29"/>
      <c r="F32" s="29"/>
    </row>
    <row r="33" spans="1:7" x14ac:dyDescent="0.2">
      <c r="A33" s="29"/>
      <c r="C33" s="29"/>
      <c r="D33" s="29"/>
      <c r="E33" s="29"/>
      <c r="F33" s="29"/>
    </row>
    <row r="34" spans="1:7" x14ac:dyDescent="0.2">
      <c r="A34" s="29"/>
      <c r="C34" s="29"/>
      <c r="D34" s="29"/>
      <c r="E34" s="29"/>
      <c r="F34" s="29"/>
    </row>
    <row r="35" spans="1:7" x14ac:dyDescent="0.2">
      <c r="A35" s="25" t="s">
        <v>14</v>
      </c>
      <c r="B35" s="25"/>
      <c r="C35" s="25"/>
      <c r="D35" s="25"/>
      <c r="E35" s="25"/>
      <c r="F35" s="25"/>
      <c r="G35" s="25"/>
    </row>
    <row r="37" spans="1:7" s="29" customFormat="1" x14ac:dyDescent="0.2">
      <c r="A37" s="29" t="s">
        <v>25</v>
      </c>
      <c r="B37" s="29" t="s">
        <v>38</v>
      </c>
      <c r="C37" s="29" t="s">
        <v>2</v>
      </c>
      <c r="D37" s="30" t="s">
        <v>9</v>
      </c>
      <c r="E37" s="30" t="s">
        <v>3</v>
      </c>
      <c r="F37" s="30" t="s">
        <v>4</v>
      </c>
      <c r="G37" s="30" t="s">
        <v>16</v>
      </c>
    </row>
    <row r="38" spans="1:7" x14ac:dyDescent="0.2">
      <c r="A38" s="24" t="str">
        <f>MatP8815C0Colour</f>
        <v>Not Specified</v>
      </c>
      <c r="B38" s="24" t="str">
        <f>IF(MatP8815C0Code=0,"",MatP8815C0Code)</f>
        <v/>
      </c>
      <c r="C38" s="24" t="str">
        <f>MatP8815C0Desc</f>
        <v>TLE Tile</v>
      </c>
      <c r="D38" s="31">
        <v>1057</v>
      </c>
      <c r="E38" s="32">
        <f>MatP8815C0Price</f>
        <v>1.2</v>
      </c>
      <c r="F38" s="33" t="str">
        <f>MatP8815C0PerText</f>
        <v>Each</v>
      </c>
      <c r="G38" s="32">
        <f t="shared" ref="G38:G57" si="0">D38 * E38</f>
        <v>1268.3999999999999</v>
      </c>
    </row>
    <row r="39" spans="1:7" x14ac:dyDescent="0.2">
      <c r="A39" s="24" t="str">
        <f>MatP8870C0Colour</f>
        <v>Not Specified</v>
      </c>
      <c r="B39" s="24" t="str">
        <f>IF(MatP8870C0Code=0,"",MatP8870C0Code)</f>
        <v/>
      </c>
      <c r="C39" s="24" t="str">
        <f>MatP8870C0Desc</f>
        <v>Ridge Tile (450mm)</v>
      </c>
      <c r="D39" s="31">
        <v>30</v>
      </c>
      <c r="E39" s="32">
        <f>MatP8870C0Price</f>
        <v>3.64</v>
      </c>
      <c r="F39" s="33" t="str">
        <f>MatP8870C0PerText</f>
        <v>Each</v>
      </c>
      <c r="G39" s="32">
        <f t="shared" si="0"/>
        <v>109.2</v>
      </c>
    </row>
    <row r="40" spans="1:7" x14ac:dyDescent="0.2">
      <c r="A40" s="24" t="str">
        <f>MatP10135C0Colour</f>
        <v>Not Specified</v>
      </c>
      <c r="B40" s="24" t="str">
        <f>IF(MatP10135C0Code=0,"",MatP10135C0Code)</f>
        <v/>
      </c>
      <c r="C40" s="24" t="str">
        <f>MatP10135C0Desc</f>
        <v>VP300 Vapour Permeable Underlay (50m x 1m)</v>
      </c>
      <c r="D40" s="31">
        <v>3</v>
      </c>
      <c r="E40" s="32">
        <f>MatP10135C0Price</f>
        <v>35</v>
      </c>
      <c r="F40" s="33" t="str">
        <f>MatP10135C0PerText</f>
        <v>Roll</v>
      </c>
      <c r="G40" s="32">
        <f t="shared" si="0"/>
        <v>105</v>
      </c>
    </row>
    <row r="41" spans="1:7" x14ac:dyDescent="0.2">
      <c r="A41" s="24" t="str">
        <f>MatP9008C0Colour</f>
        <v>Not Specified</v>
      </c>
      <c r="B41" s="24" t="str">
        <f>IF(MatP9008C0Code=0,"",MatP9008C0Code)</f>
        <v/>
      </c>
      <c r="C41" s="24" t="str">
        <f>MatP9008C0Desc</f>
        <v>Battens (50mm x 25mm)</v>
      </c>
      <c r="D41" s="31">
        <v>377</v>
      </c>
      <c r="E41" s="32">
        <f>MatP9008C0Price</f>
        <v>0.9</v>
      </c>
      <c r="F41" s="33" t="str">
        <f>MatP9008C0PerText</f>
        <v>Metre</v>
      </c>
      <c r="G41" s="32">
        <f t="shared" si="0"/>
        <v>339.3</v>
      </c>
    </row>
    <row r="42" spans="1:7" x14ac:dyDescent="0.2">
      <c r="A42" s="24" t="str">
        <f>MatP8879C15Colour</f>
        <v>Not Specified</v>
      </c>
      <c r="B42" s="24" t="str">
        <f>IF(MatP8879C15Code=0,"",MatP8879C15Code)</f>
        <v/>
      </c>
      <c r="C42" s="24" t="str">
        <f>MatP8879C15Desc</f>
        <v>Universal Dry Ridge/Hip System (6m)</v>
      </c>
      <c r="D42" s="31">
        <v>3</v>
      </c>
      <c r="E42" s="32">
        <f>MatP8879C15Price</f>
        <v>28.09</v>
      </c>
      <c r="F42" s="33" t="str">
        <f>MatP8879C15PerText</f>
        <v>Pack</v>
      </c>
      <c r="G42" s="32">
        <f t="shared" si="0"/>
        <v>84.27</v>
      </c>
    </row>
    <row r="43" spans="1:7" x14ac:dyDescent="0.2">
      <c r="A43" s="24" t="str">
        <f>MatP8857C0Colour</f>
        <v>Not Specified</v>
      </c>
      <c r="B43" s="24" t="str">
        <f>IF(MatP8857C0Code=0,"",MatP8857C0Code)</f>
        <v/>
      </c>
      <c r="C43" s="24" t="str">
        <f>MatP8857C0Desc</f>
        <v>LH Uni-Fix Dry Verge Unit</v>
      </c>
      <c r="D43" s="31">
        <v>88</v>
      </c>
      <c r="E43" s="32">
        <f>MatP8857C0Price</f>
        <v>1.1000000000000001</v>
      </c>
      <c r="F43" s="33" t="str">
        <f>MatP8857C0PerText</f>
        <v>Each</v>
      </c>
      <c r="G43" s="32">
        <f t="shared" si="0"/>
        <v>96.800000000000011</v>
      </c>
    </row>
    <row r="44" spans="1:7" x14ac:dyDescent="0.2">
      <c r="A44" s="24" t="str">
        <f>MatP8869C0Colour</f>
        <v>Not Specified</v>
      </c>
      <c r="B44" s="24" t="str">
        <f>IF(MatP8869C0Code=0,"",MatP8869C0Code)</f>
        <v/>
      </c>
      <c r="C44" s="24" t="str">
        <f>MatP8869C0Desc</f>
        <v>RH Uni-Fix Dry Verge Unit</v>
      </c>
      <c r="D44" s="31">
        <v>88</v>
      </c>
      <c r="E44" s="32">
        <f>MatP8869C0Price</f>
        <v>1.1000000000000001</v>
      </c>
      <c r="F44" s="33" t="str">
        <f>MatP8869C0PerText</f>
        <v>Each</v>
      </c>
      <c r="G44" s="32">
        <f t="shared" si="0"/>
        <v>96.800000000000011</v>
      </c>
    </row>
    <row r="45" spans="1:7" x14ac:dyDescent="0.2">
      <c r="A45" s="24" t="str">
        <f>MatP8877C0Colour</f>
        <v>Not Specified</v>
      </c>
      <c r="B45" s="24" t="str">
        <f>IF(MatP8877C0Code=0,"",MatP8877C0Code)</f>
        <v/>
      </c>
      <c r="C45" s="24" t="str">
        <f>MatP8877C0Desc</f>
        <v>Uni-Fix Universal Ridge End Cap</v>
      </c>
      <c r="D45" s="31">
        <v>3</v>
      </c>
      <c r="E45" s="32">
        <f>MatP8877C0Price</f>
        <v>1.6</v>
      </c>
      <c r="F45" s="33" t="str">
        <f>MatP8877C0PerText</f>
        <v>Each</v>
      </c>
      <c r="G45" s="32">
        <f t="shared" si="0"/>
        <v>4.8000000000000007</v>
      </c>
    </row>
    <row r="46" spans="1:7" x14ac:dyDescent="0.2">
      <c r="A46" s="24" t="str">
        <f>MatP8830C20Colour</f>
        <v>Not Specified</v>
      </c>
      <c r="B46" s="24" t="str">
        <f>IF(MatP8830C20Code=0,"",MatP8830C20Code)</f>
        <v/>
      </c>
      <c r="C46" s="24" t="str">
        <f>MatP8830C20Desc</f>
        <v>Dry Verge Starter Unit</v>
      </c>
      <c r="D46" s="31">
        <v>5</v>
      </c>
      <c r="E46" s="32">
        <f>MatP8830C20Price</f>
        <v>1.51</v>
      </c>
      <c r="F46" s="33" t="str">
        <f>MatP8830C20PerText</f>
        <v>Each</v>
      </c>
      <c r="G46" s="32">
        <f t="shared" si="0"/>
        <v>7.55</v>
      </c>
    </row>
    <row r="47" spans="1:7" x14ac:dyDescent="0.2">
      <c r="A47" s="24" t="str">
        <f>MatP8820C20Colour</f>
        <v>Not Specified</v>
      </c>
      <c r="B47" s="24" t="str">
        <f>IF(MatP8820C20Code=0,"",MatP8820C20Code)</f>
        <v/>
      </c>
      <c r="C47" s="24" t="str">
        <f>MatP8820C20Desc</f>
        <v>10mm Over Fascia Vent (1m)</v>
      </c>
      <c r="D47" s="31">
        <v>14</v>
      </c>
      <c r="E47" s="32">
        <f>MatP8820C20Price</f>
        <v>1.7</v>
      </c>
      <c r="F47" s="33" t="str">
        <f>MatP8820C20PerText</f>
        <v>Each</v>
      </c>
      <c r="G47" s="32">
        <f t="shared" si="0"/>
        <v>23.8</v>
      </c>
    </row>
    <row r="48" spans="1:7" x14ac:dyDescent="0.2">
      <c r="A48" s="24" t="str">
        <f>MatP8281C0Colour</f>
        <v>Not Specified</v>
      </c>
      <c r="B48" s="24" t="str">
        <f>IF(MatP8281C0Code=0,"",MatP8281C0Code)</f>
        <v/>
      </c>
      <c r="C48" s="24" t="str">
        <f>MatP8281C0Desc</f>
        <v>Generic Eave Insulation (1m)</v>
      </c>
      <c r="D48" s="31">
        <v>14</v>
      </c>
      <c r="E48" s="32">
        <f>MatP8281C0Price</f>
        <v>5</v>
      </c>
      <c r="F48" s="33" t="str">
        <f>MatP8281C0PerText</f>
        <v>Each</v>
      </c>
      <c r="G48" s="32">
        <f t="shared" si="0"/>
        <v>70</v>
      </c>
    </row>
    <row r="49" spans="1:7" x14ac:dyDescent="0.2">
      <c r="A49" s="24" t="str">
        <f>MatP8866C20Colour</f>
        <v>Not Specified</v>
      </c>
      <c r="B49" s="24" t="str">
        <f>IF(MatP8866C20Code=0,"",MatP8866C20Code)</f>
        <v/>
      </c>
      <c r="C49" s="24" t="str">
        <f>MatP8866C20Desc</f>
        <v>Rafter Roll (6m x 600mm)</v>
      </c>
      <c r="D49" s="31">
        <v>3</v>
      </c>
      <c r="E49" s="32">
        <f>MatP8866C20Price</f>
        <v>9.5</v>
      </c>
      <c r="F49" s="33" t="str">
        <f>MatP8866C20PerText</f>
        <v>Each</v>
      </c>
      <c r="G49" s="32">
        <f t="shared" si="0"/>
        <v>28.5</v>
      </c>
    </row>
    <row r="50" spans="1:7" x14ac:dyDescent="0.2">
      <c r="A50" s="24" t="str">
        <f>MatP8874C20Colour</f>
        <v>Not Specified</v>
      </c>
      <c r="B50" s="24" t="str">
        <f>IF(MatP8874C20Code=0,"",MatP8874C20Code)</f>
        <v/>
      </c>
      <c r="C50" s="24" t="str">
        <f>MatP8874C20Desc</f>
        <v>Underlay Support Tray (1.5m)</v>
      </c>
      <c r="D50" s="31">
        <v>9</v>
      </c>
      <c r="E50" s="32">
        <f>MatP8874C20Price</f>
        <v>1.5</v>
      </c>
      <c r="F50" s="33" t="str">
        <f>MatP8874C20PerText</f>
        <v>Each</v>
      </c>
      <c r="G50" s="32">
        <f t="shared" si="0"/>
        <v>13.5</v>
      </c>
    </row>
    <row r="51" spans="1:7" x14ac:dyDescent="0.2">
      <c r="A51" s="24" t="str">
        <f>MatP8838C92Colour</f>
        <v>Not Specified</v>
      </c>
      <c r="B51" s="24" t="str">
        <f>IF(MatP8838C92Code=0,"",MatP8838C92Code)</f>
        <v/>
      </c>
      <c r="C51" s="24" t="str">
        <f>MatP8838C92Desc</f>
        <v>GRP Dry Fix Valley Trough - Over Batten Fix (3m x 400mm x 70mm)</v>
      </c>
      <c r="D51" s="31">
        <v>6</v>
      </c>
      <c r="E51" s="32">
        <f>MatP8838C92Price</f>
        <v>32.5</v>
      </c>
      <c r="F51" s="33" t="str">
        <f>MatP8838C92PerText</f>
        <v>Each</v>
      </c>
      <c r="G51" s="32">
        <f t="shared" si="0"/>
        <v>195</v>
      </c>
    </row>
    <row r="52" spans="1:7" x14ac:dyDescent="0.2">
      <c r="A52" s="24" t="str">
        <f>MatP8872C539Colour</f>
        <v>Not Specified</v>
      </c>
      <c r="B52" s="24" t="str">
        <f>IF(MatP8872C539Code=0,"",MatP8872C539Code)</f>
        <v/>
      </c>
      <c r="C52" s="24" t="str">
        <f>MatP8872C539Desc</f>
        <v>Sidelock Tile Clips (TLE)</v>
      </c>
      <c r="D52" s="31">
        <v>374</v>
      </c>
      <c r="E52" s="32">
        <f>MatP8872C539Price</f>
        <v>7.0000000000000007E-2</v>
      </c>
      <c r="F52" s="33" t="str">
        <f>MatP8872C539PerText</f>
        <v>Each</v>
      </c>
      <c r="G52" s="32">
        <f t="shared" si="0"/>
        <v>26.180000000000003</v>
      </c>
    </row>
    <row r="53" spans="1:7" x14ac:dyDescent="0.2">
      <c r="A53" s="24" t="str">
        <f>MatP8826C539Colour</f>
        <v>Not Specified</v>
      </c>
      <c r="B53" s="24" t="str">
        <f>IF(MatP8826C539Code=0,"",MatP8826C539Code)</f>
        <v/>
      </c>
      <c r="C53" s="24" t="str">
        <f>MatP8826C539Desc</f>
        <v>Metal Batten End Clips</v>
      </c>
      <c r="D53" s="31">
        <v>88</v>
      </c>
      <c r="E53" s="32">
        <f>MatP8826C539Price</f>
        <v>0.28000000000000003</v>
      </c>
      <c r="F53" s="33" t="str">
        <f>MatP8826C539PerText</f>
        <v>Each</v>
      </c>
      <c r="G53" s="32">
        <f t="shared" si="0"/>
        <v>24.64</v>
      </c>
    </row>
    <row r="54" spans="1:7" x14ac:dyDescent="0.2">
      <c r="A54" s="24" t="str">
        <f>MatP8831C539Colour</f>
        <v>Not Specified</v>
      </c>
      <c r="B54" s="24" t="str">
        <f>IF(MatP8831C539Code=0,"",MatP8831C539Code)</f>
        <v/>
      </c>
      <c r="C54" s="24" t="str">
        <f>MatP8831C539Desc</f>
        <v>Eave Clip</v>
      </c>
      <c r="D54" s="31">
        <v>45</v>
      </c>
      <c r="E54" s="32">
        <f>MatP8831C539Price</f>
        <v>0.1</v>
      </c>
      <c r="F54" s="33" t="str">
        <f>MatP8831C539PerText</f>
        <v>Each</v>
      </c>
      <c r="G54" s="32">
        <f t="shared" si="0"/>
        <v>4.5</v>
      </c>
    </row>
    <row r="55" spans="1:7" x14ac:dyDescent="0.2">
      <c r="A55" s="24" t="str">
        <f>MatP9318C0Colour</f>
        <v>Not Specified</v>
      </c>
      <c r="B55" s="24" t="str">
        <f>IF(MatP9318C0Code=0,"",MatP9318C0Code)</f>
        <v/>
      </c>
      <c r="C55" s="24" t="str">
        <f>MatP9318C0Desc</f>
        <v>45mm x 3.35mm Aluminium Nails</v>
      </c>
      <c r="D55" s="31">
        <v>3.0000000596046448</v>
      </c>
      <c r="E55" s="32">
        <f>MatP9318C0Price</f>
        <v>7.28</v>
      </c>
      <c r="F55" s="33" t="str">
        <f>MatP9318C0PerText</f>
        <v>Kg</v>
      </c>
      <c r="G55" s="32">
        <f t="shared" si="0"/>
        <v>21.840000433921816</v>
      </c>
    </row>
    <row r="56" spans="1:7" x14ac:dyDescent="0.2">
      <c r="A56" s="24" t="str">
        <f>MatP9100C0Colour</f>
        <v>Not Specified</v>
      </c>
      <c r="B56" s="24" t="str">
        <f>IF(MatP9100C0Code=0,"",MatP9100C0Code)</f>
        <v/>
      </c>
      <c r="C56" s="24" t="str">
        <f>MatP9100C0Desc</f>
        <v>Batten Nails - 65mm x 3.35mm Galvanised</v>
      </c>
      <c r="D56" s="31">
        <v>3</v>
      </c>
      <c r="E56" s="32">
        <f>MatP9100C0Price</f>
        <v>4.5</v>
      </c>
      <c r="F56" s="33" t="str">
        <f>MatP9100C0PerText</f>
        <v>Kg</v>
      </c>
      <c r="G56" s="32">
        <f t="shared" si="0"/>
        <v>13.5</v>
      </c>
    </row>
    <row r="57" spans="1:7" x14ac:dyDescent="0.2">
      <c r="A57" s="24" t="str">
        <f>MatLeadValleySaddleColour</f>
        <v>Not Specified</v>
      </c>
      <c r="B57" s="24" t="str">
        <f>IF(MatLeadValleySaddleCode=0,"",MatLeadValleySaddleCode)</f>
        <v/>
      </c>
      <c r="C57" s="24" t="str">
        <f>MatLeadValleySaddleDesc</f>
        <v>Lead Valley Saddle</v>
      </c>
      <c r="D57" s="31">
        <v>1</v>
      </c>
      <c r="E57" s="32">
        <f>MatLeadValleySaddlePrice</f>
        <v>15</v>
      </c>
      <c r="F57" s="33" t="str">
        <f>MatLeadValleySaddlePerText</f>
        <v>Each</v>
      </c>
      <c r="G57" s="32">
        <f t="shared" si="0"/>
        <v>15</v>
      </c>
    </row>
    <row r="58" spans="1:7" x14ac:dyDescent="0.2">
      <c r="D58" s="31"/>
      <c r="E58" s="32"/>
      <c r="F58" s="33"/>
      <c r="G58" s="32"/>
    </row>
    <row r="59" spans="1:7" x14ac:dyDescent="0.2">
      <c r="F59" s="34" t="s">
        <v>5</v>
      </c>
      <c r="G59" s="35">
        <f>SUM(G38:G58)</f>
        <v>2548.5800004339221</v>
      </c>
    </row>
    <row r="60" spans="1:7" x14ac:dyDescent="0.2">
      <c r="G60" s="34"/>
    </row>
    <row r="61" spans="1:7" x14ac:dyDescent="0.2">
      <c r="A61" s="25" t="s">
        <v>15</v>
      </c>
      <c r="B61" s="25"/>
      <c r="D61" s="25"/>
      <c r="E61" s="25"/>
      <c r="F61" s="25"/>
      <c r="G61" s="25"/>
    </row>
    <row r="63" spans="1:7" x14ac:dyDescent="0.2">
      <c r="A63" s="102" t="s">
        <v>6</v>
      </c>
      <c r="B63" s="102"/>
      <c r="C63" s="102"/>
      <c r="D63" s="34" t="s">
        <v>7</v>
      </c>
      <c r="E63" s="34" t="s">
        <v>9</v>
      </c>
      <c r="F63" s="34" t="s">
        <v>8</v>
      </c>
      <c r="G63" s="34" t="s">
        <v>16</v>
      </c>
    </row>
    <row r="64" spans="1:7" x14ac:dyDescent="0.2">
      <c r="A64" s="103" t="str">
        <f>LabP8815R6L1G1Desc</f>
        <v>Main Area</v>
      </c>
      <c r="B64" s="103"/>
      <c r="C64" s="103"/>
      <c r="D64" s="36">
        <f>LabP8815R6L1G1Rate</f>
        <v>9</v>
      </c>
      <c r="E64" s="37">
        <f>'WIN-Main Roof'!Area</f>
        <v>101.04</v>
      </c>
      <c r="F64" s="27" t="str">
        <f xml:space="preserve"> "" &amp; LabP8815R6L1G1Per</f>
        <v>m²</v>
      </c>
      <c r="G64" s="36">
        <f>D64 * E64</f>
        <v>909.36</v>
      </c>
    </row>
    <row r="65" spans="1:7" x14ac:dyDescent="0.2">
      <c r="A65" s="24" t="str">
        <f>LabP8815R0L1G2Desc</f>
        <v>Eave</v>
      </c>
      <c r="D65" s="36">
        <f>LabP8815R0L1G2Rate</f>
        <v>2.5</v>
      </c>
      <c r="E65" s="37">
        <f>'WIN-Main Roof'!Eave</f>
        <v>13.1</v>
      </c>
      <c r="F65" s="27" t="str">
        <f xml:space="preserve"> "" &amp; LabP8815R0L1G2Per</f>
        <v>m</v>
      </c>
      <c r="G65" s="36">
        <f>D65 * E65</f>
        <v>32.75</v>
      </c>
    </row>
    <row r="66" spans="1:7" x14ac:dyDescent="0.2">
      <c r="A66" s="24" t="str">
        <f>LabP8815R0L1G3Desc</f>
        <v>Verge</v>
      </c>
      <c r="D66" s="36">
        <f>LabP8815R0L1G3Rate</f>
        <v>2.5</v>
      </c>
      <c r="E66" s="37">
        <f>LeftVerge+RightVerge</f>
        <v>29.3</v>
      </c>
      <c r="F66" s="27" t="str">
        <f xml:space="preserve"> "" &amp; LabP8815R0L1G3Per</f>
        <v>m</v>
      </c>
      <c r="G66" s="36">
        <f>D66 * E66</f>
        <v>73.25</v>
      </c>
    </row>
    <row r="67" spans="1:7" x14ac:dyDescent="0.2">
      <c r="A67" s="24" t="str">
        <f>LabP8815R15L1G7Desc</f>
        <v>Valley</v>
      </c>
      <c r="D67" s="36">
        <f>LabP8815R15L1G7Rate</f>
        <v>15</v>
      </c>
      <c r="E67" s="37">
        <f>'WIN-Main Roof'!Valley</f>
        <v>11.46</v>
      </c>
      <c r="F67" s="27" t="str">
        <f xml:space="preserve"> "" &amp; LabP8815R15L1G7Per</f>
        <v>m</v>
      </c>
      <c r="G67" s="36">
        <f>D67 * E67</f>
        <v>171.9</v>
      </c>
    </row>
    <row r="68" spans="1:7" x14ac:dyDescent="0.2">
      <c r="A68" s="24" t="str">
        <f>LabP8815R0L1G8Desc</f>
        <v>Duo Ridge</v>
      </c>
      <c r="D68" s="36">
        <f>LabP8815R0L1G8Rate</f>
        <v>2.5</v>
      </c>
      <c r="E68" s="37">
        <f>'WIN-Main Roof'!DuoRidge</f>
        <v>13.47</v>
      </c>
      <c r="F68" s="27" t="str">
        <f xml:space="preserve"> "" &amp; LabP8815R0L1G8Per</f>
        <v>m</v>
      </c>
      <c r="G68" s="36">
        <f>D68 * E68</f>
        <v>33.675000000000004</v>
      </c>
    </row>
    <row r="69" spans="1:7" x14ac:dyDescent="0.2">
      <c r="D69" s="36"/>
      <c r="E69" s="37"/>
      <c r="F69" s="27"/>
      <c r="G69" s="36"/>
    </row>
    <row r="70" spans="1:7" x14ac:dyDescent="0.2">
      <c r="A70" s="103"/>
      <c r="B70" s="103"/>
      <c r="C70" s="103"/>
      <c r="D70" s="36"/>
      <c r="E70" s="37"/>
      <c r="G70" s="36"/>
    </row>
    <row r="71" spans="1:7" x14ac:dyDescent="0.2">
      <c r="F71" s="34" t="s">
        <v>5</v>
      </c>
      <c r="G71" s="35">
        <f>SUM(G64:G70)</f>
        <v>1220.9349999999999</v>
      </c>
    </row>
    <row r="75" spans="1:7" x14ac:dyDescent="0.2">
      <c r="A75" s="34"/>
      <c r="B75" s="38"/>
    </row>
    <row r="77" spans="1:7" x14ac:dyDescent="0.2">
      <c r="A77" s="34"/>
      <c r="B77" s="38"/>
    </row>
    <row r="79" spans="1:7" x14ac:dyDescent="0.2">
      <c r="A79" s="34"/>
      <c r="B79" s="38"/>
    </row>
    <row r="81" spans="1:3" x14ac:dyDescent="0.2">
      <c r="A81" s="34"/>
      <c r="B81" s="38"/>
    </row>
    <row r="84" spans="1:3" x14ac:dyDescent="0.2">
      <c r="A84" s="34"/>
      <c r="B84" s="38"/>
      <c r="C84" s="39"/>
    </row>
    <row r="86" spans="1:3" x14ac:dyDescent="0.2">
      <c r="A86" s="34"/>
      <c r="B86" s="38"/>
    </row>
    <row r="88" spans="1:3" x14ac:dyDescent="0.2">
      <c r="A88" s="34"/>
      <c r="B88" s="38"/>
      <c r="C88" s="39"/>
    </row>
    <row r="90" spans="1:3" x14ac:dyDescent="0.2">
      <c r="A90" s="34"/>
      <c r="B90" s="38"/>
    </row>
    <row r="92" spans="1:3" x14ac:dyDescent="0.2">
      <c r="A92" s="34"/>
      <c r="B92" s="38"/>
    </row>
    <row r="95" spans="1:3" x14ac:dyDescent="0.2">
      <c r="A95" s="34"/>
      <c r="B95" s="38"/>
    </row>
    <row r="97" spans="1:3" x14ac:dyDescent="0.2">
      <c r="A97" s="34"/>
      <c r="B97" s="38"/>
    </row>
    <row r="99" spans="1:3" x14ac:dyDescent="0.2">
      <c r="A99" s="34"/>
      <c r="B99" s="38"/>
      <c r="C99" s="39"/>
    </row>
    <row r="102" spans="1:3" x14ac:dyDescent="0.2">
      <c r="A102" s="34"/>
      <c r="B102" s="40"/>
      <c r="C102" s="23"/>
    </row>
    <row r="105" spans="1:3" x14ac:dyDescent="0.2">
      <c r="A105" s="39"/>
      <c r="B105" s="41"/>
    </row>
  </sheetData>
  <mergeCells count="5">
    <mergeCell ref="B4:F4"/>
    <mergeCell ref="B5:F5"/>
    <mergeCell ref="A63:C63"/>
    <mergeCell ref="A64:C64"/>
    <mergeCell ref="A70:C70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B8777-5904-4855-9000-BCA23F84383D}">
  <dimension ref="A1:G102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138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139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43.48</v>
      </c>
      <c r="C9" s="23"/>
      <c r="D9" s="26"/>
    </row>
    <row r="10" spans="1:7" x14ac:dyDescent="0.2">
      <c r="A10" s="23" t="s">
        <v>114</v>
      </c>
      <c r="B10" s="24">
        <v>8.8000000000000007</v>
      </c>
      <c r="C10" s="23"/>
      <c r="D10" s="26"/>
    </row>
    <row r="11" spans="1:7" x14ac:dyDescent="0.2">
      <c r="A11" s="23" t="s">
        <v>115</v>
      </c>
      <c r="B11" s="24">
        <v>4.9400000000000004</v>
      </c>
      <c r="C11" s="23"/>
      <c r="D11" s="26"/>
    </row>
    <row r="12" spans="1:7" x14ac:dyDescent="0.2">
      <c r="A12" s="23" t="s">
        <v>116</v>
      </c>
      <c r="B12" s="24">
        <v>4.9400000000000004</v>
      </c>
      <c r="C12" s="23"/>
      <c r="D12" s="26"/>
    </row>
    <row r="13" spans="1:7" x14ac:dyDescent="0.2">
      <c r="A13" s="23" t="s">
        <v>117</v>
      </c>
      <c r="B13" s="24">
        <v>4.4000000000000004</v>
      </c>
      <c r="C13" s="23"/>
      <c r="D13" s="26"/>
    </row>
    <row r="14" spans="1:7" x14ac:dyDescent="0.2">
      <c r="A14" s="23" t="s">
        <v>118</v>
      </c>
      <c r="B14" s="24">
        <v>4.9400000000000004</v>
      </c>
      <c r="C14" s="23"/>
      <c r="D14" s="26"/>
    </row>
    <row r="15" spans="1:7" x14ac:dyDescent="0.2">
      <c r="A15" s="23" t="s">
        <v>119</v>
      </c>
      <c r="B15" s="24">
        <v>600</v>
      </c>
      <c r="C15" s="23"/>
      <c r="D15" s="26"/>
    </row>
    <row r="16" spans="1:7" x14ac:dyDescent="0.2">
      <c r="A16" s="23" t="s">
        <v>120</v>
      </c>
      <c r="B16" s="24">
        <v>35</v>
      </c>
      <c r="C16" s="23"/>
      <c r="D16" s="26"/>
    </row>
    <row r="17" spans="1:7" x14ac:dyDescent="0.2">
      <c r="A17" s="23"/>
      <c r="C17" s="23"/>
      <c r="D17" s="26"/>
    </row>
    <row r="18" spans="1:7" x14ac:dyDescent="0.2">
      <c r="A18" s="23"/>
      <c r="B18" s="27"/>
      <c r="C18" s="23"/>
      <c r="D18" s="26"/>
    </row>
    <row r="19" spans="1:7" x14ac:dyDescent="0.2">
      <c r="A19" s="28" t="s">
        <v>10</v>
      </c>
      <c r="B19" s="28"/>
      <c r="C19" s="28"/>
      <c r="D19" s="28"/>
      <c r="E19" s="28"/>
      <c r="F19" s="28"/>
      <c r="G19" s="28"/>
    </row>
    <row r="20" spans="1:7" x14ac:dyDescent="0.2">
      <c r="A20" s="28"/>
      <c r="B20" s="28"/>
      <c r="C20" s="28"/>
      <c r="D20" s="28"/>
      <c r="E20" s="28"/>
      <c r="F20" s="28"/>
      <c r="G20" s="28"/>
    </row>
    <row r="21" spans="1:7" x14ac:dyDescent="0.2">
      <c r="A21" s="29" t="s">
        <v>121</v>
      </c>
      <c r="B21" s="24" t="s">
        <v>122</v>
      </c>
      <c r="C21" s="29"/>
      <c r="D21" s="29"/>
      <c r="E21" s="29"/>
      <c r="F21" s="29"/>
    </row>
    <row r="22" spans="1:7" x14ac:dyDescent="0.2">
      <c r="A22" s="29" t="s">
        <v>123</v>
      </c>
      <c r="B22" s="24" t="s">
        <v>124</v>
      </c>
      <c r="C22" s="29"/>
      <c r="D22" s="29"/>
      <c r="E22" s="29"/>
      <c r="F22" s="29"/>
    </row>
    <row r="23" spans="1:7" x14ac:dyDescent="0.2">
      <c r="A23" s="29"/>
      <c r="B23" s="24" t="s">
        <v>125</v>
      </c>
      <c r="C23" s="29"/>
      <c r="D23" s="29"/>
      <c r="E23" s="29"/>
      <c r="F23" s="29"/>
    </row>
    <row r="24" spans="1:7" x14ac:dyDescent="0.2">
      <c r="A24" s="29" t="s">
        <v>126</v>
      </c>
      <c r="B24" s="24" t="s">
        <v>127</v>
      </c>
      <c r="C24" s="29"/>
      <c r="D24" s="29"/>
      <c r="E24" s="29"/>
      <c r="F24" s="29"/>
    </row>
    <row r="25" spans="1:7" x14ac:dyDescent="0.2">
      <c r="A25" s="29">
        <v>20</v>
      </c>
      <c r="B25" s="24" t="s">
        <v>128</v>
      </c>
      <c r="C25" s="29"/>
      <c r="D25" s="29"/>
      <c r="E25" s="29"/>
      <c r="F25" s="29"/>
    </row>
    <row r="26" spans="1:7" x14ac:dyDescent="0.2">
      <c r="A26" s="29" t="s">
        <v>129</v>
      </c>
      <c r="B26" s="24" t="s">
        <v>130</v>
      </c>
      <c r="C26" s="29"/>
      <c r="D26" s="29"/>
      <c r="E26" s="29"/>
      <c r="F26" s="29"/>
    </row>
    <row r="27" spans="1:7" x14ac:dyDescent="0.2">
      <c r="A27" s="29"/>
      <c r="B27" s="24" t="s">
        <v>131</v>
      </c>
      <c r="C27" s="29"/>
      <c r="D27" s="29"/>
      <c r="E27" s="29"/>
      <c r="F27" s="29"/>
    </row>
    <row r="28" spans="1:7" x14ac:dyDescent="0.2">
      <c r="A28" s="29" t="s">
        <v>132</v>
      </c>
      <c r="B28" s="24" t="s">
        <v>133</v>
      </c>
      <c r="C28" s="29"/>
      <c r="D28" s="29"/>
      <c r="E28" s="29"/>
      <c r="F28" s="29"/>
    </row>
    <row r="29" spans="1:7" x14ac:dyDescent="0.2">
      <c r="A29" s="29" t="s">
        <v>134</v>
      </c>
      <c r="B29" s="24" t="s">
        <v>135</v>
      </c>
      <c r="C29" s="29"/>
      <c r="D29" s="29"/>
      <c r="E29" s="29"/>
      <c r="F29" s="29"/>
    </row>
    <row r="30" spans="1:7" x14ac:dyDescent="0.2">
      <c r="A30" s="29" t="s">
        <v>136</v>
      </c>
      <c r="B30" s="24" t="s">
        <v>137</v>
      </c>
      <c r="C30" s="29"/>
      <c r="D30" s="29"/>
      <c r="E30" s="29"/>
      <c r="F30" s="29"/>
    </row>
    <row r="31" spans="1:7" x14ac:dyDescent="0.2">
      <c r="A31" s="29"/>
      <c r="C31" s="29"/>
      <c r="D31" s="29"/>
      <c r="E31" s="29"/>
      <c r="F31" s="29"/>
    </row>
    <row r="32" spans="1:7" x14ac:dyDescent="0.2">
      <c r="A32" s="29"/>
      <c r="C32" s="29"/>
      <c r="D32" s="29"/>
      <c r="E32" s="29"/>
      <c r="F32" s="29"/>
    </row>
    <row r="33" spans="1:7" x14ac:dyDescent="0.2">
      <c r="A33" s="25" t="s">
        <v>14</v>
      </c>
      <c r="B33" s="25"/>
      <c r="C33" s="25"/>
      <c r="D33" s="25"/>
      <c r="E33" s="25"/>
      <c r="F33" s="25"/>
      <c r="G33" s="25"/>
    </row>
    <row r="35" spans="1:7" s="29" customFormat="1" x14ac:dyDescent="0.2">
      <c r="A35" s="29" t="s">
        <v>25</v>
      </c>
      <c r="B35" s="29" t="s">
        <v>38</v>
      </c>
      <c r="C35" s="29" t="s">
        <v>2</v>
      </c>
      <c r="D35" s="30" t="s">
        <v>9</v>
      </c>
      <c r="E35" s="30" t="s">
        <v>3</v>
      </c>
      <c r="F35" s="30" t="s">
        <v>4</v>
      </c>
      <c r="G35" s="30" t="s">
        <v>16</v>
      </c>
    </row>
    <row r="36" spans="1:7" x14ac:dyDescent="0.2">
      <c r="A36" s="24" t="str">
        <f>MatP8815C0Colour</f>
        <v>Not Specified</v>
      </c>
      <c r="B36" s="24" t="str">
        <f>IF(MatP8815C0Code=0,"",MatP8815C0Code)</f>
        <v/>
      </c>
      <c r="C36" s="24" t="str">
        <f>MatP8815C0Desc</f>
        <v>TLE Tile</v>
      </c>
      <c r="D36" s="31">
        <v>464</v>
      </c>
      <c r="E36" s="32">
        <f>MatP8815C0Price</f>
        <v>1.2</v>
      </c>
      <c r="F36" s="33" t="str">
        <f>MatP8815C0PerText</f>
        <v>Each</v>
      </c>
      <c r="G36" s="32">
        <f t="shared" ref="G36:G54" si="0">D36 * E36</f>
        <v>556.79999999999995</v>
      </c>
    </row>
    <row r="37" spans="1:7" x14ac:dyDescent="0.2">
      <c r="A37" s="24" t="str">
        <f>MatP8870C0Colour</f>
        <v>Not Specified</v>
      </c>
      <c r="B37" s="24" t="str">
        <f>IF(MatP8870C0Code=0,"",MatP8870C0Code)</f>
        <v/>
      </c>
      <c r="C37" s="24" t="str">
        <f>MatP8870C0Desc</f>
        <v>Ridge Tile (450mm)</v>
      </c>
      <c r="D37" s="31">
        <v>10</v>
      </c>
      <c r="E37" s="32">
        <f>MatP8870C0Price</f>
        <v>3.64</v>
      </c>
      <c r="F37" s="33" t="str">
        <f>MatP8870C0PerText</f>
        <v>Each</v>
      </c>
      <c r="G37" s="32">
        <f t="shared" si="0"/>
        <v>36.4</v>
      </c>
    </row>
    <row r="38" spans="1:7" x14ac:dyDescent="0.2">
      <c r="A38" s="24" t="str">
        <f>MatP10135C0Colour</f>
        <v>Not Specified</v>
      </c>
      <c r="B38" s="24" t="str">
        <f>IF(MatP10135C0Code=0,"",MatP10135C0Code)</f>
        <v/>
      </c>
      <c r="C38" s="24" t="str">
        <f>MatP10135C0Desc</f>
        <v>VP300 Vapour Permeable Underlay (50m x 1m)</v>
      </c>
      <c r="D38" s="31">
        <v>2</v>
      </c>
      <c r="E38" s="32">
        <f>MatP10135C0Price</f>
        <v>35</v>
      </c>
      <c r="F38" s="33" t="str">
        <f>MatP10135C0PerText</f>
        <v>Roll</v>
      </c>
      <c r="G38" s="32">
        <f t="shared" si="0"/>
        <v>70</v>
      </c>
    </row>
    <row r="39" spans="1:7" x14ac:dyDescent="0.2">
      <c r="A39" s="24" t="str">
        <f>MatP9008C0Colour</f>
        <v>Not Specified</v>
      </c>
      <c r="B39" s="24" t="str">
        <f>IF(MatP9008C0Code=0,"",MatP9008C0Code)</f>
        <v/>
      </c>
      <c r="C39" s="24" t="str">
        <f>MatP9008C0Desc</f>
        <v>Battens (50mm x 25mm)</v>
      </c>
      <c r="D39" s="31">
        <v>149</v>
      </c>
      <c r="E39" s="32">
        <f>MatP9008C0Price</f>
        <v>0.9</v>
      </c>
      <c r="F39" s="33" t="str">
        <f>MatP9008C0PerText</f>
        <v>Metre</v>
      </c>
      <c r="G39" s="32">
        <f t="shared" si="0"/>
        <v>134.1</v>
      </c>
    </row>
    <row r="40" spans="1:7" x14ac:dyDescent="0.2">
      <c r="A40" s="24" t="str">
        <f>MatP8879C15Colour</f>
        <v>Not Specified</v>
      </c>
      <c r="B40" s="24" t="str">
        <f>IF(MatP8879C15Code=0,"",MatP8879C15Code)</f>
        <v/>
      </c>
      <c r="C40" s="24" t="str">
        <f>MatP8879C15Desc</f>
        <v>Universal Dry Ridge/Hip System (6m)</v>
      </c>
      <c r="D40" s="31">
        <v>1</v>
      </c>
      <c r="E40" s="32">
        <f>MatP8879C15Price</f>
        <v>28.09</v>
      </c>
      <c r="F40" s="33" t="str">
        <f>MatP8879C15PerText</f>
        <v>Pack</v>
      </c>
      <c r="G40" s="32">
        <f t="shared" si="0"/>
        <v>28.09</v>
      </c>
    </row>
    <row r="41" spans="1:7" x14ac:dyDescent="0.2">
      <c r="A41" s="24" t="str">
        <f>MatP8857C0Colour</f>
        <v>Not Specified</v>
      </c>
      <c r="B41" s="24" t="str">
        <f>IF(MatP8857C0Code=0,"",MatP8857C0Code)</f>
        <v/>
      </c>
      <c r="C41" s="24" t="str">
        <f>MatP8857C0Desc</f>
        <v>LH Uni-Fix Dry Verge Unit</v>
      </c>
      <c r="D41" s="31">
        <v>30</v>
      </c>
      <c r="E41" s="32">
        <f>MatP8857C0Price</f>
        <v>1.1000000000000001</v>
      </c>
      <c r="F41" s="33" t="str">
        <f>MatP8857C0PerText</f>
        <v>Each</v>
      </c>
      <c r="G41" s="32">
        <f t="shared" si="0"/>
        <v>33</v>
      </c>
    </row>
    <row r="42" spans="1:7" x14ac:dyDescent="0.2">
      <c r="A42" s="24" t="str">
        <f>MatP8869C0Colour</f>
        <v>Not Specified</v>
      </c>
      <c r="B42" s="24" t="str">
        <f>IF(MatP8869C0Code=0,"",MatP8869C0Code)</f>
        <v/>
      </c>
      <c r="C42" s="24" t="str">
        <f>MatP8869C0Desc</f>
        <v>RH Uni-Fix Dry Verge Unit</v>
      </c>
      <c r="D42" s="31">
        <v>30</v>
      </c>
      <c r="E42" s="32">
        <f>MatP8869C0Price</f>
        <v>1.1000000000000001</v>
      </c>
      <c r="F42" s="33" t="str">
        <f>MatP8869C0PerText</f>
        <v>Each</v>
      </c>
      <c r="G42" s="32">
        <f t="shared" si="0"/>
        <v>33</v>
      </c>
    </row>
    <row r="43" spans="1:7" x14ac:dyDescent="0.2">
      <c r="A43" s="24" t="str">
        <f>MatP8877C0Colour</f>
        <v>Not Specified</v>
      </c>
      <c r="B43" s="24" t="str">
        <f>IF(MatP8877C0Code=0,"",MatP8877C0Code)</f>
        <v/>
      </c>
      <c r="C43" s="24" t="str">
        <f>MatP8877C0Desc</f>
        <v>Uni-Fix Universal Ridge End Cap</v>
      </c>
      <c r="D43" s="31">
        <v>1</v>
      </c>
      <c r="E43" s="32">
        <f>MatP8877C0Price</f>
        <v>1.6</v>
      </c>
      <c r="F43" s="33" t="str">
        <f>MatP8877C0PerText</f>
        <v>Each</v>
      </c>
      <c r="G43" s="32">
        <f t="shared" si="0"/>
        <v>1.6</v>
      </c>
    </row>
    <row r="44" spans="1:7" x14ac:dyDescent="0.2">
      <c r="A44" s="24" t="str">
        <f>MatP8830C20Colour</f>
        <v>Not Specified</v>
      </c>
      <c r="B44" s="24" t="str">
        <f>IF(MatP8830C20Code=0,"",MatP8830C20Code)</f>
        <v/>
      </c>
      <c r="C44" s="24" t="str">
        <f>MatP8830C20Desc</f>
        <v>Dry Verge Starter Unit</v>
      </c>
      <c r="D44" s="31">
        <v>2</v>
      </c>
      <c r="E44" s="32">
        <f>MatP8830C20Price</f>
        <v>1.51</v>
      </c>
      <c r="F44" s="33" t="str">
        <f>MatP8830C20PerText</f>
        <v>Each</v>
      </c>
      <c r="G44" s="32">
        <f t="shared" si="0"/>
        <v>3.02</v>
      </c>
    </row>
    <row r="45" spans="1:7" x14ac:dyDescent="0.2">
      <c r="A45" s="24" t="str">
        <f>MatP8281C0Colour</f>
        <v>Not Specified</v>
      </c>
      <c r="B45" s="24" t="str">
        <f>IF(MatP8281C0Code=0,"",MatP8281C0Code)</f>
        <v/>
      </c>
      <c r="C45" s="24" t="str">
        <f>MatP8281C0Desc</f>
        <v>Generic Eave Insulation (1m)</v>
      </c>
      <c r="D45" s="31">
        <v>9</v>
      </c>
      <c r="E45" s="32">
        <f>MatP8281C0Price</f>
        <v>5</v>
      </c>
      <c r="F45" s="33" t="str">
        <f>MatP8281C0PerText</f>
        <v>Each</v>
      </c>
      <c r="G45" s="32">
        <f t="shared" si="0"/>
        <v>45</v>
      </c>
    </row>
    <row r="46" spans="1:7" x14ac:dyDescent="0.2">
      <c r="A46" s="24" t="str">
        <f>MatP8820C20Colour</f>
        <v>Not Specified</v>
      </c>
      <c r="B46" s="24" t="str">
        <f>IF(MatP8820C20Code=0,"",MatP8820C20Code)</f>
        <v/>
      </c>
      <c r="C46" s="24" t="str">
        <f>MatP8820C20Desc</f>
        <v>10mm Over Fascia Vent (1m)</v>
      </c>
      <c r="D46" s="31">
        <v>9</v>
      </c>
      <c r="E46" s="32">
        <f>MatP8820C20Price</f>
        <v>1.7</v>
      </c>
      <c r="F46" s="33" t="str">
        <f>MatP8820C20PerText</f>
        <v>Each</v>
      </c>
      <c r="G46" s="32">
        <f t="shared" si="0"/>
        <v>15.299999999999999</v>
      </c>
    </row>
    <row r="47" spans="1:7" x14ac:dyDescent="0.2">
      <c r="A47" s="24" t="str">
        <f>MatP8624C0Colour</f>
        <v>Not Specified</v>
      </c>
      <c r="B47" s="24" t="str">
        <f>IF(MatP8624C0Code=0,"",MatP8624C0Code)</f>
        <v/>
      </c>
      <c r="C47" s="24" t="str">
        <f>MatP8624C0Desc</f>
        <v>Generic Party Wall Insulation (1m)</v>
      </c>
      <c r="D47" s="31">
        <v>5</v>
      </c>
      <c r="E47" s="32">
        <f>MatP8624C0Price</f>
        <v>5</v>
      </c>
      <c r="F47" s="33" t="str">
        <f>MatP8624C0PerText</f>
        <v>Each</v>
      </c>
      <c r="G47" s="32">
        <f t="shared" si="0"/>
        <v>25</v>
      </c>
    </row>
    <row r="48" spans="1:7" x14ac:dyDescent="0.2">
      <c r="A48" s="24" t="str">
        <f>MatP8866C20Colour</f>
        <v>Not Specified</v>
      </c>
      <c r="B48" s="24" t="str">
        <f>IF(MatP8866C20Code=0,"",MatP8866C20Code)</f>
        <v/>
      </c>
      <c r="C48" s="24" t="str">
        <f>MatP8866C20Desc</f>
        <v>Rafter Roll (6m x 600mm)</v>
      </c>
      <c r="D48" s="31">
        <v>2</v>
      </c>
      <c r="E48" s="32">
        <f>MatP8866C20Price</f>
        <v>9.5</v>
      </c>
      <c r="F48" s="33" t="str">
        <f>MatP8866C20PerText</f>
        <v>Each</v>
      </c>
      <c r="G48" s="32">
        <f t="shared" si="0"/>
        <v>19</v>
      </c>
    </row>
    <row r="49" spans="1:7" x14ac:dyDescent="0.2">
      <c r="A49" s="24" t="str">
        <f>MatP8874C20Colour</f>
        <v>Not Specified</v>
      </c>
      <c r="B49" s="24" t="str">
        <f>IF(MatP8874C20Code=0,"",MatP8874C20Code)</f>
        <v/>
      </c>
      <c r="C49" s="24" t="str">
        <f>MatP8874C20Desc</f>
        <v>Underlay Support Tray (1.5m)</v>
      </c>
      <c r="D49" s="31">
        <v>6</v>
      </c>
      <c r="E49" s="32">
        <f>MatP8874C20Price</f>
        <v>1.5</v>
      </c>
      <c r="F49" s="33" t="str">
        <f>MatP8874C20PerText</f>
        <v>Each</v>
      </c>
      <c r="G49" s="32">
        <f t="shared" si="0"/>
        <v>9</v>
      </c>
    </row>
    <row r="50" spans="1:7" x14ac:dyDescent="0.2">
      <c r="A50" s="24" t="str">
        <f>MatP8872C539Colour</f>
        <v>Not Specified</v>
      </c>
      <c r="B50" s="24" t="str">
        <f>IF(MatP8872C539Code=0,"",MatP8872C539Code)</f>
        <v/>
      </c>
      <c r="C50" s="24" t="str">
        <f>MatP8872C539Desc</f>
        <v>Sidelock Tile Clips (TLE)</v>
      </c>
      <c r="D50" s="31">
        <v>180</v>
      </c>
      <c r="E50" s="32">
        <f>MatP8872C539Price</f>
        <v>7.0000000000000007E-2</v>
      </c>
      <c r="F50" s="33" t="str">
        <f>MatP8872C539PerText</f>
        <v>Each</v>
      </c>
      <c r="G50" s="32">
        <f t="shared" si="0"/>
        <v>12.600000000000001</v>
      </c>
    </row>
    <row r="51" spans="1:7" x14ac:dyDescent="0.2">
      <c r="A51" s="24" t="str">
        <f>MatP8826C539Colour</f>
        <v>Not Specified</v>
      </c>
      <c r="B51" s="24" t="str">
        <f>IF(MatP8826C539Code=0,"",MatP8826C539Code)</f>
        <v/>
      </c>
      <c r="C51" s="24" t="str">
        <f>MatP8826C539Desc</f>
        <v>Metal Batten End Clips</v>
      </c>
      <c r="D51" s="31">
        <v>30</v>
      </c>
      <c r="E51" s="32">
        <f>MatP8826C539Price</f>
        <v>0.28000000000000003</v>
      </c>
      <c r="F51" s="33" t="str">
        <f>MatP8826C539PerText</f>
        <v>Each</v>
      </c>
      <c r="G51" s="32">
        <f t="shared" si="0"/>
        <v>8.4</v>
      </c>
    </row>
    <row r="52" spans="1:7" x14ac:dyDescent="0.2">
      <c r="A52" s="24" t="str">
        <f>MatP8831C539Colour</f>
        <v>Not Specified</v>
      </c>
      <c r="B52" s="24" t="str">
        <f>IF(MatP8831C539Code=0,"",MatP8831C539Code)</f>
        <v/>
      </c>
      <c r="C52" s="24" t="str">
        <f>MatP8831C539Desc</f>
        <v>Eave Clip</v>
      </c>
      <c r="D52" s="31">
        <v>30</v>
      </c>
      <c r="E52" s="32">
        <f>MatP8831C539Price</f>
        <v>0.1</v>
      </c>
      <c r="F52" s="33" t="str">
        <f>MatP8831C539PerText</f>
        <v>Each</v>
      </c>
      <c r="G52" s="32">
        <f t="shared" si="0"/>
        <v>3</v>
      </c>
    </row>
    <row r="53" spans="1:7" x14ac:dyDescent="0.2">
      <c r="A53" s="24" t="str">
        <f>MatP9318C0Colour</f>
        <v>Not Specified</v>
      </c>
      <c r="B53" s="24" t="str">
        <f>IF(MatP9318C0Code=0,"",MatP9318C0Code)</f>
        <v/>
      </c>
      <c r="C53" s="24" t="str">
        <f>MatP9318C0Desc</f>
        <v>45mm x 3.35mm Aluminium Nails</v>
      </c>
      <c r="D53" s="31">
        <v>2.0000000298023224</v>
      </c>
      <c r="E53" s="32">
        <f>MatP9318C0Price</f>
        <v>7.28</v>
      </c>
      <c r="F53" s="33" t="str">
        <f>MatP9318C0PerText</f>
        <v>Kg</v>
      </c>
      <c r="G53" s="32">
        <f t="shared" si="0"/>
        <v>14.560000216960907</v>
      </c>
    </row>
    <row r="54" spans="1:7" x14ac:dyDescent="0.2">
      <c r="A54" s="24" t="str">
        <f>MatP9100C0Colour</f>
        <v>Not Specified</v>
      </c>
      <c r="B54" s="24" t="str">
        <f>IF(MatP9100C0Code=0,"",MatP9100C0Code)</f>
        <v/>
      </c>
      <c r="C54" s="24" t="str">
        <f>MatP9100C0Desc</f>
        <v>Batten Nails - 65mm x 3.35mm Galvanised</v>
      </c>
      <c r="D54" s="31">
        <v>2</v>
      </c>
      <c r="E54" s="32">
        <f>MatP9100C0Price</f>
        <v>4.5</v>
      </c>
      <c r="F54" s="33" t="str">
        <f>MatP9100C0PerText</f>
        <v>Kg</v>
      </c>
      <c r="G54" s="32">
        <f t="shared" si="0"/>
        <v>9</v>
      </c>
    </row>
    <row r="55" spans="1:7" x14ac:dyDescent="0.2">
      <c r="D55" s="31"/>
      <c r="E55" s="32"/>
      <c r="F55" s="33"/>
      <c r="G55" s="32"/>
    </row>
    <row r="56" spans="1:7" x14ac:dyDescent="0.2">
      <c r="F56" s="34" t="s">
        <v>5</v>
      </c>
      <c r="G56" s="35">
        <f>SUM(G36:G55)</f>
        <v>1056.8700002169608</v>
      </c>
    </row>
    <row r="57" spans="1:7" x14ac:dyDescent="0.2">
      <c r="G57" s="34"/>
    </row>
    <row r="58" spans="1:7" x14ac:dyDescent="0.2">
      <c r="A58" s="25" t="s">
        <v>15</v>
      </c>
      <c r="B58" s="25"/>
      <c r="D58" s="25"/>
      <c r="E58" s="25"/>
      <c r="F58" s="25"/>
      <c r="G58" s="25"/>
    </row>
    <row r="60" spans="1:7" x14ac:dyDescent="0.2">
      <c r="A60" s="102" t="s">
        <v>6</v>
      </c>
      <c r="B60" s="102"/>
      <c r="C60" s="102"/>
      <c r="D60" s="34" t="s">
        <v>7</v>
      </c>
      <c r="E60" s="34" t="s">
        <v>9</v>
      </c>
      <c r="F60" s="34" t="s">
        <v>8</v>
      </c>
      <c r="G60" s="34" t="s">
        <v>16</v>
      </c>
    </row>
    <row r="61" spans="1:7" x14ac:dyDescent="0.2">
      <c r="A61" s="103" t="str">
        <f>LabP8815R6L1G1Desc</f>
        <v>Main Area</v>
      </c>
      <c r="B61" s="103"/>
      <c r="C61" s="103"/>
      <c r="D61" s="36">
        <f>LabP8815R6L1G1Rate</f>
        <v>9</v>
      </c>
      <c r="E61" s="37">
        <f>'ALN-END-Main Roof'!Area</f>
        <v>43.48</v>
      </c>
      <c r="F61" s="27" t="str">
        <f xml:space="preserve"> "" &amp; LabP8815R6L1G1Per</f>
        <v>m²</v>
      </c>
      <c r="G61" s="36">
        <f>D61 * E61</f>
        <v>391.32</v>
      </c>
    </row>
    <row r="62" spans="1:7" x14ac:dyDescent="0.2">
      <c r="A62" s="24" t="str">
        <f>LabP8815R0L1G2Desc</f>
        <v>Eave</v>
      </c>
      <c r="D62" s="36">
        <f>LabP8815R0L1G2Rate</f>
        <v>2.5</v>
      </c>
      <c r="E62" s="37">
        <f>'ALN-END-Main Roof'!Eave</f>
        <v>8.8000000000000007</v>
      </c>
      <c r="F62" s="27" t="str">
        <f xml:space="preserve"> "" &amp; LabP8815R0L1G2Per</f>
        <v>m</v>
      </c>
      <c r="G62" s="36">
        <f>D62 * E62</f>
        <v>22</v>
      </c>
    </row>
    <row r="63" spans="1:7" x14ac:dyDescent="0.2">
      <c r="A63" s="24" t="str">
        <f>LabP8815R0L1G3Desc</f>
        <v>Verge</v>
      </c>
      <c r="D63" s="36">
        <f>LabP8815R0L1G3Rate</f>
        <v>2.5</v>
      </c>
      <c r="E63" s="37">
        <f>LeftVerge+RightVerge</f>
        <v>9.8800000000000008</v>
      </c>
      <c r="F63" s="27" t="str">
        <f xml:space="preserve"> "" &amp; LabP8815R0L1G3Per</f>
        <v>m</v>
      </c>
      <c r="G63" s="36">
        <f>D63 * E63</f>
        <v>24.700000000000003</v>
      </c>
    </row>
    <row r="64" spans="1:7" x14ac:dyDescent="0.2">
      <c r="A64" s="24" t="str">
        <f>LabP8815R0L1G8Desc</f>
        <v>Duo Ridge</v>
      </c>
      <c r="D64" s="36">
        <f>LabP8815R0L1G8Rate</f>
        <v>2.5</v>
      </c>
      <c r="E64" s="37">
        <f>'ALN-END-Main Roof'!DuoRidge</f>
        <v>4.4000000000000004</v>
      </c>
      <c r="F64" s="27" t="str">
        <f xml:space="preserve"> "" &amp; LabP8815R0L1G8Per</f>
        <v>m</v>
      </c>
      <c r="G64" s="36">
        <f>D64 * E64</f>
        <v>11</v>
      </c>
    </row>
    <row r="65" spans="1:7" x14ac:dyDescent="0.2">
      <c r="A65" s="24" t="str">
        <f>LabP8815R0L1G241Desc</f>
        <v>Party Wall Insulation</v>
      </c>
      <c r="D65" s="36">
        <f>LabP8815R0L1G241Rate</f>
        <v>1.5</v>
      </c>
      <c r="E65" s="37">
        <v>4.9400000000000004</v>
      </c>
      <c r="F65" s="27" t="str">
        <f xml:space="preserve"> "" &amp; LabP8815R0L1G241Per</f>
        <v>m</v>
      </c>
      <c r="G65" s="36">
        <f>D65 * E65</f>
        <v>7.41</v>
      </c>
    </row>
    <row r="66" spans="1:7" x14ac:dyDescent="0.2">
      <c r="D66" s="36"/>
      <c r="E66" s="37"/>
      <c r="F66" s="27"/>
      <c r="G66" s="36"/>
    </row>
    <row r="67" spans="1:7" x14ac:dyDescent="0.2">
      <c r="A67" s="103"/>
      <c r="B67" s="103"/>
      <c r="C67" s="103"/>
      <c r="D67" s="36"/>
      <c r="E67" s="37"/>
      <c r="G67" s="36"/>
    </row>
    <row r="68" spans="1:7" x14ac:dyDescent="0.2">
      <c r="F68" s="34" t="s">
        <v>5</v>
      </c>
      <c r="G68" s="35">
        <f>SUM(G61:G67)</f>
        <v>456.43</v>
      </c>
    </row>
    <row r="72" spans="1:7" x14ac:dyDescent="0.2">
      <c r="A72" s="34"/>
      <c r="B72" s="38"/>
    </row>
    <row r="74" spans="1:7" x14ac:dyDescent="0.2">
      <c r="A74" s="34"/>
      <c r="B74" s="38"/>
    </row>
    <row r="76" spans="1:7" x14ac:dyDescent="0.2">
      <c r="A76" s="34"/>
      <c r="B76" s="38"/>
    </row>
    <row r="78" spans="1:7" x14ac:dyDescent="0.2">
      <c r="A78" s="34"/>
      <c r="B78" s="38"/>
    </row>
    <row r="81" spans="1:3" x14ac:dyDescent="0.2">
      <c r="A81" s="34"/>
      <c r="B81" s="38"/>
      <c r="C81" s="39"/>
    </row>
    <row r="83" spans="1:3" x14ac:dyDescent="0.2">
      <c r="A83" s="34"/>
      <c r="B83" s="38"/>
    </row>
    <row r="85" spans="1:3" x14ac:dyDescent="0.2">
      <c r="A85" s="34"/>
      <c r="B85" s="38"/>
      <c r="C85" s="39"/>
    </row>
    <row r="87" spans="1:3" x14ac:dyDescent="0.2">
      <c r="A87" s="34"/>
      <c r="B87" s="38"/>
    </row>
    <row r="89" spans="1:3" x14ac:dyDescent="0.2">
      <c r="A89" s="34"/>
      <c r="B89" s="38"/>
    </row>
    <row r="92" spans="1:3" x14ac:dyDescent="0.2">
      <c r="A92" s="34"/>
      <c r="B92" s="38"/>
    </row>
    <row r="94" spans="1:3" x14ac:dyDescent="0.2">
      <c r="A94" s="34"/>
      <c r="B94" s="38"/>
    </row>
    <row r="96" spans="1:3" x14ac:dyDescent="0.2">
      <c r="A96" s="34"/>
      <c r="B96" s="38"/>
      <c r="C96" s="39"/>
    </row>
    <row r="99" spans="1:3" x14ac:dyDescent="0.2">
      <c r="A99" s="34"/>
      <c r="B99" s="40"/>
      <c r="C99" s="23"/>
    </row>
    <row r="102" spans="1:3" x14ac:dyDescent="0.2">
      <c r="A102" s="39"/>
      <c r="B102" s="41"/>
    </row>
  </sheetData>
  <mergeCells count="5">
    <mergeCell ref="B4:F4"/>
    <mergeCell ref="B5:F5"/>
    <mergeCell ref="A60:C60"/>
    <mergeCell ref="A61:C61"/>
    <mergeCell ref="A67:C67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1A67D-6DD7-45FA-A734-7941AD444A4F}">
  <dimension ref="A1:G101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tr">
        <f>IF(ISBLANK(CustomerName),"",CustomerName)</f>
        <v>Example Customer</v>
      </c>
      <c r="C1" s="39"/>
      <c r="D1" s="39"/>
      <c r="E1" s="39"/>
      <c r="F1" s="39"/>
    </row>
    <row r="2" spans="1:7" x14ac:dyDescent="0.2">
      <c r="A2" s="23" t="s">
        <v>64</v>
      </c>
      <c r="B2" s="39" t="str">
        <f>IF(ISBLANK(SiteReference),"",SiteReference)</f>
        <v>Site Address Here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f>IF(ISBLANK(SiteName),"",SiteName)</f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223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156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2.1</v>
      </c>
      <c r="C9" s="23"/>
      <c r="D9" s="26"/>
    </row>
    <row r="10" spans="1:7" x14ac:dyDescent="0.2">
      <c r="A10" s="23" t="s">
        <v>114</v>
      </c>
      <c r="B10" s="24">
        <v>1.8</v>
      </c>
      <c r="C10" s="23"/>
      <c r="D10" s="26"/>
    </row>
    <row r="11" spans="1:7" x14ac:dyDescent="0.2">
      <c r="A11" s="23" t="s">
        <v>115</v>
      </c>
      <c r="B11" s="24">
        <v>1.17</v>
      </c>
      <c r="C11" s="23"/>
      <c r="D11" s="26"/>
    </row>
    <row r="12" spans="1:7" x14ac:dyDescent="0.2">
      <c r="A12" s="23" t="s">
        <v>116</v>
      </c>
      <c r="B12" s="24">
        <v>1.17</v>
      </c>
      <c r="C12" s="23"/>
      <c r="D12" s="26"/>
    </row>
    <row r="13" spans="1:7" x14ac:dyDescent="0.2">
      <c r="A13" s="23" t="s">
        <v>117</v>
      </c>
      <c r="B13" s="24">
        <v>0.9</v>
      </c>
      <c r="C13" s="23"/>
      <c r="D13" s="26"/>
    </row>
    <row r="14" spans="1:7" x14ac:dyDescent="0.2">
      <c r="A14" s="23" t="s">
        <v>153</v>
      </c>
      <c r="B14" s="24">
        <v>2.34</v>
      </c>
      <c r="C14" s="23"/>
      <c r="D14" s="26"/>
    </row>
    <row r="15" spans="1:7" x14ac:dyDescent="0.2">
      <c r="A15" s="23" t="s">
        <v>119</v>
      </c>
      <c r="B15" s="24">
        <v>600</v>
      </c>
      <c r="C15" s="23"/>
      <c r="D15" s="26"/>
    </row>
    <row r="16" spans="1:7" x14ac:dyDescent="0.2">
      <c r="A16" s="23" t="s">
        <v>120</v>
      </c>
      <c r="B16" s="24">
        <v>40</v>
      </c>
      <c r="C16" s="23"/>
      <c r="D16" s="26"/>
    </row>
    <row r="17" spans="1:7" x14ac:dyDescent="0.2">
      <c r="A17" s="23"/>
      <c r="C17" s="23"/>
      <c r="D17" s="26"/>
    </row>
    <row r="18" spans="1:7" x14ac:dyDescent="0.2">
      <c r="A18" s="23"/>
      <c r="B18" s="27"/>
      <c r="C18" s="23"/>
      <c r="D18" s="26"/>
    </row>
    <row r="19" spans="1:7" x14ac:dyDescent="0.2">
      <c r="A19" s="28" t="s">
        <v>10</v>
      </c>
      <c r="B19" s="28"/>
      <c r="C19" s="28"/>
      <c r="D19" s="28"/>
      <c r="E19" s="28"/>
      <c r="F19" s="28"/>
      <c r="G19" s="28"/>
    </row>
    <row r="20" spans="1:7" x14ac:dyDescent="0.2">
      <c r="A20" s="28"/>
      <c r="B20" s="28"/>
      <c r="C20" s="28"/>
      <c r="D20" s="28"/>
      <c r="E20" s="28"/>
      <c r="F20" s="28"/>
      <c r="G20" s="28"/>
    </row>
    <row r="21" spans="1:7" x14ac:dyDescent="0.2">
      <c r="A21" s="29" t="s">
        <v>121</v>
      </c>
      <c r="B21" s="24" t="s">
        <v>122</v>
      </c>
      <c r="C21" s="29"/>
      <c r="D21" s="29"/>
      <c r="E21" s="29"/>
      <c r="F21" s="29"/>
    </row>
    <row r="22" spans="1:7" x14ac:dyDescent="0.2">
      <c r="A22" s="29" t="s">
        <v>123</v>
      </c>
      <c r="B22" s="24" t="s">
        <v>124</v>
      </c>
      <c r="C22" s="29"/>
      <c r="D22" s="29"/>
      <c r="E22" s="29"/>
      <c r="F22" s="29"/>
    </row>
    <row r="23" spans="1:7" x14ac:dyDescent="0.2">
      <c r="A23" s="29"/>
      <c r="B23" s="24" t="s">
        <v>154</v>
      </c>
      <c r="C23" s="29"/>
      <c r="D23" s="29"/>
      <c r="E23" s="29"/>
      <c r="F23" s="29"/>
    </row>
    <row r="24" spans="1:7" x14ac:dyDescent="0.2">
      <c r="A24" s="29" t="s">
        <v>126</v>
      </c>
      <c r="B24" s="24" t="s">
        <v>127</v>
      </c>
      <c r="C24" s="29"/>
      <c r="D24" s="29"/>
      <c r="E24" s="29"/>
      <c r="F24" s="29"/>
    </row>
    <row r="25" spans="1:7" x14ac:dyDescent="0.2">
      <c r="A25" s="29"/>
      <c r="B25" s="24" t="s">
        <v>67</v>
      </c>
      <c r="C25" s="29"/>
      <c r="D25" s="29"/>
      <c r="E25" s="29"/>
      <c r="F25" s="29"/>
    </row>
    <row r="26" spans="1:7" x14ac:dyDescent="0.2">
      <c r="A26" s="29" t="s">
        <v>129</v>
      </c>
      <c r="B26" s="24" t="s">
        <v>130</v>
      </c>
      <c r="C26" s="29"/>
      <c r="D26" s="29"/>
      <c r="E26" s="29"/>
      <c r="F26" s="29"/>
    </row>
    <row r="27" spans="1:7" x14ac:dyDescent="0.2">
      <c r="A27" s="29"/>
      <c r="B27" s="24" t="s">
        <v>131</v>
      </c>
      <c r="C27" s="29"/>
      <c r="D27" s="29"/>
      <c r="E27" s="29"/>
      <c r="F27" s="29"/>
    </row>
    <row r="28" spans="1:7" x14ac:dyDescent="0.2">
      <c r="A28" s="29" t="s">
        <v>132</v>
      </c>
      <c r="B28" s="24" t="s">
        <v>133</v>
      </c>
      <c r="C28" s="29"/>
      <c r="D28" s="29"/>
      <c r="E28" s="29"/>
      <c r="F28" s="29"/>
    </row>
    <row r="29" spans="1:7" x14ac:dyDescent="0.2">
      <c r="A29" s="29" t="s">
        <v>134</v>
      </c>
      <c r="B29" s="24" t="s">
        <v>135</v>
      </c>
      <c r="C29" s="29"/>
      <c r="D29" s="29"/>
      <c r="E29" s="29"/>
      <c r="F29" s="29"/>
    </row>
    <row r="30" spans="1:7" x14ac:dyDescent="0.2">
      <c r="A30" s="29" t="s">
        <v>143</v>
      </c>
      <c r="B30" s="24" t="s">
        <v>155</v>
      </c>
      <c r="C30" s="29"/>
      <c r="D30" s="29"/>
      <c r="E30" s="29"/>
      <c r="F30" s="29"/>
    </row>
    <row r="31" spans="1:7" x14ac:dyDescent="0.2">
      <c r="A31" s="29"/>
      <c r="C31" s="29"/>
      <c r="D31" s="29"/>
      <c r="E31" s="29"/>
      <c r="F31" s="29"/>
    </row>
    <row r="32" spans="1:7" x14ac:dyDescent="0.2">
      <c r="A32" s="29"/>
      <c r="C32" s="29"/>
      <c r="D32" s="29"/>
      <c r="E32" s="29"/>
      <c r="F32" s="29"/>
    </row>
    <row r="33" spans="1:7" x14ac:dyDescent="0.2">
      <c r="A33" s="25" t="s">
        <v>14</v>
      </c>
      <c r="B33" s="25"/>
      <c r="C33" s="25"/>
      <c r="D33" s="25"/>
      <c r="E33" s="25"/>
      <c r="F33" s="25"/>
      <c r="G33" s="25"/>
    </row>
    <row r="35" spans="1:7" s="29" customFormat="1" x14ac:dyDescent="0.2">
      <c r="A35" s="29" t="s">
        <v>25</v>
      </c>
      <c r="B35" s="29" t="s">
        <v>38</v>
      </c>
      <c r="C35" s="29" t="s">
        <v>2</v>
      </c>
      <c r="D35" s="30" t="s">
        <v>9</v>
      </c>
      <c r="E35" s="30" t="s">
        <v>3</v>
      </c>
      <c r="F35" s="30" t="s">
        <v>4</v>
      </c>
      <c r="G35" s="30" t="s">
        <v>16</v>
      </c>
    </row>
    <row r="36" spans="1:7" x14ac:dyDescent="0.2">
      <c r="A36" s="24" t="str">
        <f>MatP8815C0Colour</f>
        <v>Not Specified</v>
      </c>
      <c r="B36" s="24" t="str">
        <f>IF(MatP8815C0Code=0,"",MatP8815C0Code)</f>
        <v/>
      </c>
      <c r="C36" s="24" t="str">
        <f>MatP8815C0Desc</f>
        <v>TLE Tile</v>
      </c>
      <c r="D36" s="31">
        <v>25</v>
      </c>
      <c r="E36" s="32">
        <f>MatP8815C0Price</f>
        <v>1.2</v>
      </c>
      <c r="F36" s="33" t="str">
        <f>MatP8815C0PerText</f>
        <v>Each</v>
      </c>
      <c r="G36" s="32">
        <f t="shared" ref="G36:G51" si="0">D36 * E36</f>
        <v>30</v>
      </c>
    </row>
    <row r="37" spans="1:7" x14ac:dyDescent="0.2">
      <c r="A37" s="24" t="str">
        <f>MatP8870C0Colour</f>
        <v>Not Specified</v>
      </c>
      <c r="B37" s="24" t="str">
        <f>IF(MatP8870C0Code=0,"",MatP8870C0Code)</f>
        <v/>
      </c>
      <c r="C37" s="24" t="str">
        <f>MatP8870C0Desc</f>
        <v>Ridge Tile (450mm)</v>
      </c>
      <c r="D37" s="31">
        <v>2</v>
      </c>
      <c r="E37" s="32">
        <f>MatP8870C0Price</f>
        <v>3.64</v>
      </c>
      <c r="F37" s="33" t="str">
        <f>MatP8870C0PerText</f>
        <v>Each</v>
      </c>
      <c r="G37" s="32">
        <f t="shared" si="0"/>
        <v>7.28</v>
      </c>
    </row>
    <row r="38" spans="1:7" x14ac:dyDescent="0.2">
      <c r="A38" s="24" t="str">
        <f>MatP9008C0Colour</f>
        <v>Not Specified</v>
      </c>
      <c r="B38" s="24" t="str">
        <f>IF(MatP9008C0Code=0,"",MatP9008C0Code)</f>
        <v/>
      </c>
      <c r="C38" s="24" t="str">
        <f>MatP9008C0Desc</f>
        <v>Battens (50mm x 25mm)</v>
      </c>
      <c r="D38" s="31">
        <v>9</v>
      </c>
      <c r="E38" s="32">
        <f>MatP9008C0Price</f>
        <v>0.9</v>
      </c>
      <c r="F38" s="33" t="str">
        <f>MatP9008C0PerText</f>
        <v>Metre</v>
      </c>
      <c r="G38" s="32">
        <f t="shared" si="0"/>
        <v>8.1</v>
      </c>
    </row>
    <row r="39" spans="1:7" x14ac:dyDescent="0.2">
      <c r="A39" s="24" t="str">
        <f>MatP8879C15Colour</f>
        <v>Not Specified</v>
      </c>
      <c r="B39" s="24" t="str">
        <f>IF(MatP8879C15Code=0,"",MatP8879C15Code)</f>
        <v/>
      </c>
      <c r="C39" s="24" t="str">
        <f>MatP8879C15Desc</f>
        <v>Universal Dry Ridge/Hip System (6m)</v>
      </c>
      <c r="D39" s="31">
        <v>1</v>
      </c>
      <c r="E39" s="32">
        <f>MatP8879C15Price</f>
        <v>28.09</v>
      </c>
      <c r="F39" s="33" t="str">
        <f>MatP8879C15PerText</f>
        <v>Pack</v>
      </c>
      <c r="G39" s="32">
        <f t="shared" si="0"/>
        <v>28.09</v>
      </c>
    </row>
    <row r="40" spans="1:7" x14ac:dyDescent="0.2">
      <c r="A40" s="24" t="str">
        <f>MatP8857C0Colour</f>
        <v>Not Specified</v>
      </c>
      <c r="B40" s="24" t="str">
        <f>IF(MatP8857C0Code=0,"",MatP8857C0Code)</f>
        <v/>
      </c>
      <c r="C40" s="24" t="str">
        <f>MatP8857C0Desc</f>
        <v>LH Uni-Fix Dry Verge Unit</v>
      </c>
      <c r="D40" s="31">
        <v>8</v>
      </c>
      <c r="E40" s="32">
        <f>MatP8857C0Price</f>
        <v>1.1000000000000001</v>
      </c>
      <c r="F40" s="33" t="str">
        <f>MatP8857C0PerText</f>
        <v>Each</v>
      </c>
      <c r="G40" s="32">
        <f t="shared" si="0"/>
        <v>8.8000000000000007</v>
      </c>
    </row>
    <row r="41" spans="1:7" x14ac:dyDescent="0.2">
      <c r="A41" s="24" t="str">
        <f>MatP8869C0Colour</f>
        <v>Not Specified</v>
      </c>
      <c r="B41" s="24" t="str">
        <f>IF(MatP8869C0Code=0,"",MatP8869C0Code)</f>
        <v/>
      </c>
      <c r="C41" s="24" t="str">
        <f>MatP8869C0Desc</f>
        <v>RH Uni-Fix Dry Verge Unit</v>
      </c>
      <c r="D41" s="31">
        <v>8</v>
      </c>
      <c r="E41" s="32">
        <f>MatP8869C0Price</f>
        <v>1.1000000000000001</v>
      </c>
      <c r="F41" s="33" t="str">
        <f>MatP8869C0PerText</f>
        <v>Each</v>
      </c>
      <c r="G41" s="32">
        <f t="shared" si="0"/>
        <v>8.8000000000000007</v>
      </c>
    </row>
    <row r="42" spans="1:7" x14ac:dyDescent="0.2">
      <c r="A42" s="24" t="str">
        <f>MatP8877C0Colour</f>
        <v>Not Specified</v>
      </c>
      <c r="B42" s="24" t="str">
        <f>IF(MatP8877C0Code=0,"",MatP8877C0Code)</f>
        <v/>
      </c>
      <c r="C42" s="24" t="str">
        <f>MatP8877C0Desc</f>
        <v>Uni-Fix Universal Ridge End Cap</v>
      </c>
      <c r="D42" s="31">
        <v>1</v>
      </c>
      <c r="E42" s="32">
        <f>MatP8877C0Price</f>
        <v>1.6</v>
      </c>
      <c r="F42" s="33" t="str">
        <f>MatP8877C0PerText</f>
        <v>Each</v>
      </c>
      <c r="G42" s="32">
        <f t="shared" si="0"/>
        <v>1.6</v>
      </c>
    </row>
    <row r="43" spans="1:7" x14ac:dyDescent="0.2">
      <c r="A43" s="24" t="str">
        <f>MatP8830C20Colour</f>
        <v>Not Specified</v>
      </c>
      <c r="B43" s="24" t="str">
        <f>IF(MatP8830C20Code=0,"",MatP8830C20Code)</f>
        <v/>
      </c>
      <c r="C43" s="24" t="str">
        <f>MatP8830C20Desc</f>
        <v>Dry Verge Starter Unit</v>
      </c>
      <c r="D43" s="31">
        <v>2</v>
      </c>
      <c r="E43" s="32">
        <f>MatP8830C20Price</f>
        <v>1.51</v>
      </c>
      <c r="F43" s="33" t="str">
        <f>MatP8830C20PerText</f>
        <v>Each</v>
      </c>
      <c r="G43" s="32">
        <f t="shared" si="0"/>
        <v>3.02</v>
      </c>
    </row>
    <row r="44" spans="1:7" x14ac:dyDescent="0.2">
      <c r="A44" s="24" t="str">
        <f>MatP8281C0Colour</f>
        <v>Not Specified</v>
      </c>
      <c r="B44" s="24" t="str">
        <f>IF(MatP8281C0Code=0,"",MatP8281C0Code)</f>
        <v/>
      </c>
      <c r="C44" s="24" t="str">
        <f>MatP8281C0Desc</f>
        <v>Generic Eave Insulation (1m)</v>
      </c>
      <c r="D44" s="31">
        <v>2</v>
      </c>
      <c r="E44" s="32">
        <f>MatP8281C0Price</f>
        <v>5</v>
      </c>
      <c r="F44" s="33" t="str">
        <f>MatP8281C0PerText</f>
        <v>Each</v>
      </c>
      <c r="G44" s="32">
        <f t="shared" si="0"/>
        <v>10</v>
      </c>
    </row>
    <row r="45" spans="1:7" x14ac:dyDescent="0.2">
      <c r="A45" s="24" t="str">
        <f>MatP8874C20Colour</f>
        <v>Not Specified</v>
      </c>
      <c r="B45" s="24" t="str">
        <f>IF(MatP8874C20Code=0,"",MatP8874C20Code)</f>
        <v/>
      </c>
      <c r="C45" s="24" t="str">
        <f>MatP8874C20Desc</f>
        <v>Underlay Support Tray (1.5m)</v>
      </c>
      <c r="D45" s="31">
        <v>2</v>
      </c>
      <c r="E45" s="32">
        <f>MatP8874C20Price</f>
        <v>1.5</v>
      </c>
      <c r="F45" s="33" t="str">
        <f>MatP8874C20PerText</f>
        <v>Each</v>
      </c>
      <c r="G45" s="32">
        <f t="shared" si="0"/>
        <v>3</v>
      </c>
    </row>
    <row r="46" spans="1:7" x14ac:dyDescent="0.2">
      <c r="A46" s="24" t="str">
        <f>MatP8826C539Colour</f>
        <v>Not Specified</v>
      </c>
      <c r="B46" s="24" t="str">
        <f>IF(MatP8826C539Code=0,"",MatP8826C539Code)</f>
        <v/>
      </c>
      <c r="C46" s="24" t="str">
        <f>MatP8826C539Desc</f>
        <v>Metal Batten End Clips</v>
      </c>
      <c r="D46" s="31">
        <v>8</v>
      </c>
      <c r="E46" s="32">
        <f>MatP8826C539Price</f>
        <v>0.28000000000000003</v>
      </c>
      <c r="F46" s="33" t="str">
        <f>MatP8826C539PerText</f>
        <v>Each</v>
      </c>
      <c r="G46" s="32">
        <f t="shared" si="0"/>
        <v>2.2400000000000002</v>
      </c>
    </row>
    <row r="47" spans="1:7" x14ac:dyDescent="0.2">
      <c r="A47" s="24" t="str">
        <f>MatP8831C539Colour</f>
        <v>Not Specified</v>
      </c>
      <c r="B47" s="24" t="str">
        <f>IF(MatP8831C539Code=0,"",MatP8831C539Code)</f>
        <v/>
      </c>
      <c r="C47" s="24" t="str">
        <f>MatP8831C539Desc</f>
        <v>Eave Clip</v>
      </c>
      <c r="D47" s="31">
        <v>6</v>
      </c>
      <c r="E47" s="32">
        <f>MatP8831C539Price</f>
        <v>0.1</v>
      </c>
      <c r="F47" s="33" t="str">
        <f>MatP8831C539PerText</f>
        <v>Each</v>
      </c>
      <c r="G47" s="32">
        <f t="shared" si="0"/>
        <v>0.60000000000000009</v>
      </c>
    </row>
    <row r="48" spans="1:7" x14ac:dyDescent="0.2">
      <c r="A48" s="24" t="str">
        <f>MatP9318C0Colour</f>
        <v>Not Specified</v>
      </c>
      <c r="B48" s="24" t="str">
        <f>IF(MatP9318C0Code=0,"",MatP9318C0Code)</f>
        <v/>
      </c>
      <c r="C48" s="24" t="str">
        <f>MatP9318C0Desc</f>
        <v>45mm x 3.35mm Aluminium Nails</v>
      </c>
      <c r="D48" s="31">
        <v>1</v>
      </c>
      <c r="E48" s="32">
        <f>MatP9318C0Price</f>
        <v>7.28</v>
      </c>
      <c r="F48" s="33" t="str">
        <f>MatP9318C0PerText</f>
        <v>Kg</v>
      </c>
      <c r="G48" s="32">
        <f t="shared" si="0"/>
        <v>7.28</v>
      </c>
    </row>
    <row r="49" spans="1:7" x14ac:dyDescent="0.2">
      <c r="A49" s="24" t="str">
        <f>MatP9100C0Colour</f>
        <v>Not Specified</v>
      </c>
      <c r="B49" s="24" t="str">
        <f>IF(MatP9100C0Code=0,"",MatP9100C0Code)</f>
        <v/>
      </c>
      <c r="C49" s="24" t="str">
        <f>MatP9100C0Desc</f>
        <v>Batten Nails - 65mm x 3.35mm Galvanised</v>
      </c>
      <c r="D49" s="31">
        <v>1</v>
      </c>
      <c r="E49" s="32">
        <f>MatP9100C0Price</f>
        <v>4.5</v>
      </c>
      <c r="F49" s="33" t="str">
        <f>MatP9100C0PerText</f>
        <v>Kg</v>
      </c>
      <c r="G49" s="32">
        <f t="shared" si="0"/>
        <v>4.5</v>
      </c>
    </row>
    <row r="50" spans="1:7" x14ac:dyDescent="0.2">
      <c r="A50" s="24" t="str">
        <f>MatP9066C92Colour</f>
        <v>Not Specified</v>
      </c>
      <c r="B50" s="24" t="str">
        <f>IF(MatP9066C92Code=0,"",MatP9066C92Code)</f>
        <v/>
      </c>
      <c r="C50" s="24" t="str">
        <f>MatP9066C92Desc</f>
        <v>Lead Code 4 - 300mm (6m)</v>
      </c>
      <c r="D50" s="31">
        <v>3</v>
      </c>
      <c r="E50" s="32">
        <f>MatP9066C92Price</f>
        <v>15.21</v>
      </c>
      <c r="F50" s="33" t="str">
        <f>MatP9066C92PerText</f>
        <v>Metre</v>
      </c>
      <c r="G50" s="32">
        <f t="shared" si="0"/>
        <v>45.63</v>
      </c>
    </row>
    <row r="51" spans="1:7" x14ac:dyDescent="0.2">
      <c r="A51" s="24" t="str">
        <f>MatLeadRidgeApexSaddleColour</f>
        <v>Not Specified</v>
      </c>
      <c r="B51" s="24" t="str">
        <f>IF(MatLeadRidgeApexSaddleCode=0,"",MatLeadRidgeApexSaddleCode)</f>
        <v/>
      </c>
      <c r="C51" s="24" t="str">
        <f>MatLeadRidgeApexSaddleDesc</f>
        <v>Lead Ridge Apex Saddle</v>
      </c>
      <c r="D51" s="31">
        <v>1</v>
      </c>
      <c r="E51" s="32">
        <f>MatLeadRidgeApexSaddlePrice</f>
        <v>15</v>
      </c>
      <c r="F51" s="33" t="str">
        <f>MatLeadRidgeApexSaddlePerText</f>
        <v>Each</v>
      </c>
      <c r="G51" s="32">
        <f t="shared" si="0"/>
        <v>15</v>
      </c>
    </row>
    <row r="52" spans="1:7" x14ac:dyDescent="0.2">
      <c r="D52" s="31"/>
      <c r="E52" s="32"/>
      <c r="F52" s="33"/>
      <c r="G52" s="32"/>
    </row>
    <row r="53" spans="1:7" x14ac:dyDescent="0.2">
      <c r="F53" s="34" t="s">
        <v>5</v>
      </c>
      <c r="G53" s="35">
        <f>SUM(G36:G52)</f>
        <v>183.93999999999997</v>
      </c>
    </row>
    <row r="54" spans="1:7" x14ac:dyDescent="0.2">
      <c r="G54" s="34"/>
    </row>
    <row r="55" spans="1:7" x14ac:dyDescent="0.2">
      <c r="A55" s="25" t="s">
        <v>15</v>
      </c>
      <c r="B55" s="25"/>
      <c r="D55" s="25"/>
      <c r="E55" s="25"/>
      <c r="F55" s="25"/>
      <c r="G55" s="25"/>
    </row>
    <row r="57" spans="1:7" x14ac:dyDescent="0.2">
      <c r="A57" s="102" t="s">
        <v>6</v>
      </c>
      <c r="B57" s="102"/>
      <c r="C57" s="102"/>
      <c r="D57" s="34" t="s">
        <v>7</v>
      </c>
      <c r="E57" s="34" t="s">
        <v>9</v>
      </c>
      <c r="F57" s="34" t="s">
        <v>8</v>
      </c>
      <c r="G57" s="34" t="s">
        <v>16</v>
      </c>
    </row>
    <row r="58" spans="1:7" x14ac:dyDescent="0.2">
      <c r="A58" s="103" t="str">
        <f>LabP8815R6L1G1Desc</f>
        <v>Main Area</v>
      </c>
      <c r="B58" s="103"/>
      <c r="C58" s="103"/>
      <c r="D58" s="36">
        <f>LabP8815R6L1G1Rate</f>
        <v>9</v>
      </c>
      <c r="E58" s="37">
        <f>'WIN-Porch (Gable)'!Area</f>
        <v>2.1</v>
      </c>
      <c r="F58" s="27" t="str">
        <f xml:space="preserve"> "" &amp; LabP8815R6L1G1Per</f>
        <v>m²</v>
      </c>
      <c r="G58" s="36">
        <f t="shared" ref="G58:G64" si="1">D58 * E58</f>
        <v>18.900000000000002</v>
      </c>
    </row>
    <row r="59" spans="1:7" x14ac:dyDescent="0.2">
      <c r="A59" s="24" t="str">
        <f>LabP8815R0L1G2Desc</f>
        <v>Eave</v>
      </c>
      <c r="D59" s="36">
        <f>LabP8815R0L1G2Rate</f>
        <v>2.5</v>
      </c>
      <c r="E59" s="37">
        <f>'WIN-Porch (Gable)'!Eave</f>
        <v>1.8</v>
      </c>
      <c r="F59" s="27" t="str">
        <f xml:space="preserve"> "" &amp; LabP8815R0L1G2Per</f>
        <v>m</v>
      </c>
      <c r="G59" s="36">
        <f t="shared" si="1"/>
        <v>4.5</v>
      </c>
    </row>
    <row r="60" spans="1:7" x14ac:dyDescent="0.2">
      <c r="A60" s="24" t="str">
        <f>LabP8815R0L1G3Desc</f>
        <v>Verge</v>
      </c>
      <c r="D60" s="36">
        <f>LabP8815R0L1G3Rate</f>
        <v>2.5</v>
      </c>
      <c r="E60" s="37">
        <f>LeftVerge+RightVerge</f>
        <v>2.34</v>
      </c>
      <c r="F60" s="27" t="str">
        <f xml:space="preserve"> "" &amp; LabP8815R0L1G3Per</f>
        <v>m</v>
      </c>
      <c r="G60" s="36">
        <f t="shared" si="1"/>
        <v>5.85</v>
      </c>
    </row>
    <row r="61" spans="1:7" x14ac:dyDescent="0.2">
      <c r="A61" s="24" t="str">
        <f>LabP8815R0L1G8Desc</f>
        <v>Duo Ridge</v>
      </c>
      <c r="D61" s="36">
        <f>LabP8815R0L1G8Rate</f>
        <v>2.5</v>
      </c>
      <c r="E61" s="37">
        <f>'WIN-Porch (Gable)'!DuoRidge</f>
        <v>0.9</v>
      </c>
      <c r="F61" s="27" t="str">
        <f xml:space="preserve"> "" &amp; LabP8815R0L1G8Per</f>
        <v>m</v>
      </c>
      <c r="G61" s="36">
        <f t="shared" si="1"/>
        <v>2.25</v>
      </c>
    </row>
    <row r="62" spans="1:7" x14ac:dyDescent="0.2">
      <c r="A62" s="24" t="str">
        <f>LabP8815R0L1G10Desc</f>
        <v>Abut Courses</v>
      </c>
      <c r="D62" s="36">
        <f>LabP8815R0L1G10Rate</f>
        <v>5</v>
      </c>
      <c r="E62" s="37">
        <f>'WIN-Porch (Gable)'!AbutCourses</f>
        <v>2.34</v>
      </c>
      <c r="F62" s="27" t="str">
        <f xml:space="preserve"> "" &amp; LabP8815R0L1G10Per</f>
        <v>m</v>
      </c>
      <c r="G62" s="36">
        <f t="shared" si="1"/>
        <v>11.7</v>
      </c>
    </row>
    <row r="63" spans="1:7" x14ac:dyDescent="0.2">
      <c r="A63" s="24" t="str">
        <f>LabP8815R15L1G274Desc</f>
        <v>Step and Cover Flashing (Code 4)</v>
      </c>
      <c r="D63" s="36">
        <f>LabP8815R15L1G274Rate</f>
        <v>15</v>
      </c>
      <c r="E63" s="37">
        <v>2.34</v>
      </c>
      <c r="F63" s="27" t="str">
        <f xml:space="preserve"> "" &amp; LabP8815R15L1G274Per</f>
        <v>m</v>
      </c>
      <c r="G63" s="36">
        <f t="shared" si="1"/>
        <v>35.099999999999994</v>
      </c>
    </row>
    <row r="64" spans="1:7" x14ac:dyDescent="0.2">
      <c r="A64" s="24" t="str">
        <f>LabP8815R150LabLabourforPorchesDesc</f>
        <v>Labour for Porches</v>
      </c>
      <c r="D64" s="36">
        <f>LabP8815R150LabLabourforPorchesRate</f>
        <v>150</v>
      </c>
      <c r="E64" s="37">
        <v>1</v>
      </c>
      <c r="F64" s="27" t="str">
        <f xml:space="preserve"> "" &amp; LabP8815R150LabLabourforPorchesPer</f>
        <v/>
      </c>
      <c r="G64" s="36">
        <f t="shared" si="1"/>
        <v>150</v>
      </c>
    </row>
    <row r="65" spans="1:7" x14ac:dyDescent="0.2">
      <c r="D65" s="36"/>
      <c r="E65" s="37"/>
      <c r="F65" s="27"/>
      <c r="G65" s="36"/>
    </row>
    <row r="66" spans="1:7" x14ac:dyDescent="0.2">
      <c r="A66" s="103"/>
      <c r="B66" s="103"/>
      <c r="C66" s="103"/>
      <c r="D66" s="36"/>
      <c r="E66" s="37"/>
      <c r="G66" s="36"/>
    </row>
    <row r="67" spans="1:7" x14ac:dyDescent="0.2">
      <c r="F67" s="34" t="s">
        <v>5</v>
      </c>
      <c r="G67" s="35">
        <f>SUM(G58:G66)</f>
        <v>228.3</v>
      </c>
    </row>
    <row r="71" spans="1:7" x14ac:dyDescent="0.2">
      <c r="A71" s="34"/>
      <c r="B71" s="38"/>
    </row>
    <row r="73" spans="1:7" x14ac:dyDescent="0.2">
      <c r="A73" s="34"/>
      <c r="B73" s="38"/>
    </row>
    <row r="75" spans="1:7" x14ac:dyDescent="0.2">
      <c r="A75" s="34"/>
      <c r="B75" s="38"/>
    </row>
    <row r="77" spans="1:7" x14ac:dyDescent="0.2">
      <c r="A77" s="34"/>
      <c r="B77" s="38"/>
    </row>
    <row r="80" spans="1:7" x14ac:dyDescent="0.2">
      <c r="A80" s="34"/>
      <c r="B80" s="38"/>
      <c r="C80" s="39"/>
    </row>
    <row r="82" spans="1:3" x14ac:dyDescent="0.2">
      <c r="A82" s="34"/>
      <c r="B82" s="38"/>
    </row>
    <row r="84" spans="1:3" x14ac:dyDescent="0.2">
      <c r="A84" s="34"/>
      <c r="B84" s="38"/>
      <c r="C84" s="39"/>
    </row>
    <row r="86" spans="1:3" x14ac:dyDescent="0.2">
      <c r="A86" s="34"/>
      <c r="B86" s="38"/>
    </row>
    <row r="88" spans="1:3" x14ac:dyDescent="0.2">
      <c r="A88" s="34"/>
      <c r="B88" s="38"/>
    </row>
    <row r="91" spans="1:3" x14ac:dyDescent="0.2">
      <c r="A91" s="34"/>
      <c r="B91" s="38"/>
    </row>
    <row r="93" spans="1:3" x14ac:dyDescent="0.2">
      <c r="A93" s="34"/>
      <c r="B93" s="38"/>
    </row>
    <row r="95" spans="1:3" x14ac:dyDescent="0.2">
      <c r="A95" s="34"/>
      <c r="B95" s="38"/>
      <c r="C95" s="39"/>
    </row>
    <row r="98" spans="1:3" x14ac:dyDescent="0.2">
      <c r="A98" s="34"/>
      <c r="B98" s="40"/>
      <c r="C98" s="23"/>
    </row>
    <row r="101" spans="1:3" x14ac:dyDescent="0.2">
      <c r="A101" s="39"/>
      <c r="B101" s="41"/>
    </row>
  </sheetData>
  <mergeCells count="5">
    <mergeCell ref="B4:F4"/>
    <mergeCell ref="B5:F5"/>
    <mergeCell ref="A57:C57"/>
    <mergeCell ref="A58:C58"/>
    <mergeCell ref="A66:C66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DB674-F1D2-41A9-BA5E-1995052C7801}">
  <dimension ref="A1:G97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tr">
        <f>IF(ISBLANK(CustomerName),"",CustomerName)</f>
        <v>Example Customer</v>
      </c>
      <c r="C1" s="39"/>
      <c r="D1" s="39"/>
      <c r="E1" s="39"/>
      <c r="F1" s="39"/>
    </row>
    <row r="2" spans="1:7" x14ac:dyDescent="0.2">
      <c r="A2" s="23" t="s">
        <v>64</v>
      </c>
      <c r="B2" s="39" t="str">
        <f>IF(ISBLANK(SiteReference),"",SiteReference)</f>
        <v>Site Address Here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f>IF(ISBLANK(SiteName),"",SiteName)</f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226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227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55.74</v>
      </c>
      <c r="C9" s="23"/>
      <c r="D9" s="26"/>
    </row>
    <row r="10" spans="1:7" x14ac:dyDescent="0.2">
      <c r="A10" s="23" t="s">
        <v>114</v>
      </c>
      <c r="B10" s="24">
        <v>13.4</v>
      </c>
      <c r="C10" s="23"/>
      <c r="D10" s="26"/>
    </row>
    <row r="11" spans="1:7" x14ac:dyDescent="0.2">
      <c r="A11" s="23" t="s">
        <v>115</v>
      </c>
      <c r="B11" s="24">
        <v>8.32</v>
      </c>
      <c r="C11" s="23"/>
      <c r="D11" s="26"/>
    </row>
    <row r="12" spans="1:7" x14ac:dyDescent="0.2">
      <c r="A12" s="23" t="s">
        <v>116</v>
      </c>
      <c r="B12" s="24">
        <v>8.32</v>
      </c>
      <c r="C12" s="23"/>
      <c r="D12" s="26"/>
    </row>
    <row r="13" spans="1:7" x14ac:dyDescent="0.2">
      <c r="A13" s="23" t="s">
        <v>117</v>
      </c>
      <c r="B13" s="24">
        <v>6.7</v>
      </c>
      <c r="C13" s="23"/>
      <c r="D13" s="26"/>
    </row>
    <row r="14" spans="1:7" x14ac:dyDescent="0.2">
      <c r="A14" s="23" t="s">
        <v>119</v>
      </c>
      <c r="B14" s="24">
        <v>600</v>
      </c>
      <c r="C14" s="23"/>
      <c r="D14" s="26"/>
    </row>
    <row r="15" spans="1:7" x14ac:dyDescent="0.2">
      <c r="A15" s="23" t="s">
        <v>120</v>
      </c>
      <c r="B15" s="24">
        <v>30</v>
      </c>
      <c r="C15" s="23"/>
      <c r="D15" s="26"/>
    </row>
    <row r="16" spans="1:7" x14ac:dyDescent="0.2">
      <c r="A16" s="23"/>
      <c r="C16" s="23"/>
      <c r="D16" s="26"/>
    </row>
    <row r="17" spans="1:7" x14ac:dyDescent="0.2">
      <c r="A17" s="23"/>
      <c r="B17" s="27"/>
      <c r="C17" s="23"/>
      <c r="D17" s="26"/>
    </row>
    <row r="18" spans="1:7" x14ac:dyDescent="0.2">
      <c r="A18" s="28" t="s">
        <v>10</v>
      </c>
      <c r="B18" s="28"/>
      <c r="C18" s="28"/>
      <c r="D18" s="28"/>
      <c r="E18" s="28"/>
      <c r="F18" s="28"/>
      <c r="G18" s="28"/>
    </row>
    <row r="19" spans="1:7" x14ac:dyDescent="0.2">
      <c r="A19" s="28"/>
      <c r="B19" s="28"/>
      <c r="C19" s="28"/>
      <c r="D19" s="28"/>
      <c r="E19" s="28"/>
      <c r="F19" s="28"/>
      <c r="G19" s="28"/>
    </row>
    <row r="20" spans="1:7" x14ac:dyDescent="0.2">
      <c r="A20" s="29" t="s">
        <v>121</v>
      </c>
      <c r="B20" s="24" t="s">
        <v>122</v>
      </c>
      <c r="C20" s="29"/>
      <c r="D20" s="29"/>
      <c r="E20" s="29"/>
      <c r="F20" s="29"/>
    </row>
    <row r="21" spans="1:7" x14ac:dyDescent="0.2">
      <c r="A21" s="29" t="s">
        <v>123</v>
      </c>
      <c r="B21" s="24" t="s">
        <v>124</v>
      </c>
      <c r="C21" s="29"/>
      <c r="D21" s="29"/>
      <c r="E21" s="29"/>
      <c r="F21" s="29"/>
    </row>
    <row r="22" spans="1:7" x14ac:dyDescent="0.2">
      <c r="A22" s="29"/>
      <c r="B22" s="24" t="s">
        <v>125</v>
      </c>
      <c r="C22" s="29"/>
      <c r="D22" s="29"/>
      <c r="E22" s="29"/>
      <c r="F22" s="29"/>
    </row>
    <row r="23" spans="1:7" x14ac:dyDescent="0.2">
      <c r="A23" s="29" t="s">
        <v>126</v>
      </c>
      <c r="B23" s="24" t="s">
        <v>127</v>
      </c>
      <c r="C23" s="29"/>
      <c r="D23" s="29"/>
      <c r="E23" s="29"/>
      <c r="F23" s="29"/>
    </row>
    <row r="24" spans="1:7" x14ac:dyDescent="0.2">
      <c r="A24" s="29"/>
      <c r="B24" s="24" t="s">
        <v>67</v>
      </c>
      <c r="C24" s="29"/>
      <c r="D24" s="29"/>
      <c r="E24" s="29"/>
      <c r="F24" s="29"/>
    </row>
    <row r="25" spans="1:7" x14ac:dyDescent="0.2">
      <c r="A25" s="29" t="s">
        <v>129</v>
      </c>
      <c r="B25" s="24" t="s">
        <v>130</v>
      </c>
      <c r="C25" s="29"/>
      <c r="D25" s="29"/>
      <c r="E25" s="29"/>
      <c r="F25" s="29"/>
    </row>
    <row r="26" spans="1:7" x14ac:dyDescent="0.2">
      <c r="A26" s="29"/>
      <c r="B26" s="24" t="s">
        <v>150</v>
      </c>
      <c r="C26" s="29"/>
      <c r="D26" s="29"/>
      <c r="E26" s="29"/>
      <c r="F26" s="29"/>
    </row>
    <row r="27" spans="1:7" x14ac:dyDescent="0.2">
      <c r="A27" s="29" t="s">
        <v>132</v>
      </c>
      <c r="B27" s="24" t="s">
        <v>133</v>
      </c>
      <c r="C27" s="29"/>
      <c r="D27" s="29"/>
      <c r="E27" s="29"/>
      <c r="F27" s="29"/>
    </row>
    <row r="28" spans="1:7" x14ac:dyDescent="0.2">
      <c r="A28" s="29" t="s">
        <v>134</v>
      </c>
      <c r="B28" s="24" t="s">
        <v>135</v>
      </c>
      <c r="C28" s="29"/>
      <c r="D28" s="29"/>
      <c r="E28" s="29"/>
      <c r="F28" s="29"/>
    </row>
    <row r="29" spans="1:7" x14ac:dyDescent="0.2">
      <c r="A29" s="29" t="s">
        <v>136</v>
      </c>
      <c r="B29" s="24" t="s">
        <v>137</v>
      </c>
      <c r="C29" s="29"/>
      <c r="D29" s="29"/>
      <c r="E29" s="29"/>
      <c r="F29" s="29"/>
    </row>
    <row r="30" spans="1:7" x14ac:dyDescent="0.2">
      <c r="A30" s="29"/>
      <c r="C30" s="29"/>
      <c r="D30" s="29"/>
      <c r="E30" s="29"/>
      <c r="F30" s="29"/>
    </row>
    <row r="31" spans="1:7" x14ac:dyDescent="0.2">
      <c r="A31" s="29"/>
      <c r="C31" s="29"/>
      <c r="D31" s="29"/>
      <c r="E31" s="29"/>
      <c r="F31" s="29"/>
    </row>
    <row r="32" spans="1:7" x14ac:dyDescent="0.2">
      <c r="A32" s="25" t="s">
        <v>14</v>
      </c>
      <c r="B32" s="25"/>
      <c r="C32" s="25"/>
      <c r="D32" s="25"/>
      <c r="E32" s="25"/>
      <c r="F32" s="25"/>
      <c r="G32" s="25"/>
    </row>
    <row r="34" spans="1:7" s="29" customFormat="1" x14ac:dyDescent="0.2">
      <c r="A34" s="29" t="s">
        <v>25</v>
      </c>
      <c r="B34" s="29" t="s">
        <v>38</v>
      </c>
      <c r="C34" s="29" t="s">
        <v>2</v>
      </c>
      <c r="D34" s="30" t="s">
        <v>9</v>
      </c>
      <c r="E34" s="30" t="s">
        <v>3</v>
      </c>
      <c r="F34" s="30" t="s">
        <v>4</v>
      </c>
      <c r="G34" s="30" t="s">
        <v>16</v>
      </c>
    </row>
    <row r="35" spans="1:7" x14ac:dyDescent="0.2">
      <c r="A35" s="24" t="str">
        <f>MatP8815C0Colour</f>
        <v>Not Specified</v>
      </c>
      <c r="B35" s="24" t="str">
        <f>IF(MatP8815C0Code=0,"",MatP8815C0Code)</f>
        <v/>
      </c>
      <c r="C35" s="24" t="str">
        <f>MatP8815C0Desc</f>
        <v>TLE Tile</v>
      </c>
      <c r="D35" s="31">
        <v>569</v>
      </c>
      <c r="E35" s="32">
        <f>MatP8815C0Price</f>
        <v>1.2</v>
      </c>
      <c r="F35" s="33" t="str">
        <f>MatP8815C0PerText</f>
        <v>Each</v>
      </c>
      <c r="G35" s="32">
        <f t="shared" ref="G35:G50" si="0">D35 * E35</f>
        <v>682.8</v>
      </c>
    </row>
    <row r="36" spans="1:7" x14ac:dyDescent="0.2">
      <c r="A36" s="24" t="str">
        <f>MatP8870C0Colour</f>
        <v>Not Specified</v>
      </c>
      <c r="B36" s="24" t="str">
        <f>IF(MatP8870C0Code=0,"",MatP8870C0Code)</f>
        <v/>
      </c>
      <c r="C36" s="24" t="str">
        <f>MatP8870C0Desc</f>
        <v>Ridge Tile (450mm)</v>
      </c>
      <c r="D36" s="31">
        <v>15</v>
      </c>
      <c r="E36" s="32">
        <f>MatP8870C0Price</f>
        <v>3.64</v>
      </c>
      <c r="F36" s="33" t="str">
        <f>MatP8870C0PerText</f>
        <v>Each</v>
      </c>
      <c r="G36" s="32">
        <f t="shared" si="0"/>
        <v>54.6</v>
      </c>
    </row>
    <row r="37" spans="1:7" x14ac:dyDescent="0.2">
      <c r="A37" s="24" t="str">
        <f>MatP10135C0Colour</f>
        <v>Not Specified</v>
      </c>
      <c r="B37" s="24" t="str">
        <f>IF(MatP10135C0Code=0,"",MatP10135C0Code)</f>
        <v/>
      </c>
      <c r="C37" s="24" t="str">
        <f>MatP10135C0Desc</f>
        <v>VP300 Vapour Permeable Underlay (50m x 1m)</v>
      </c>
      <c r="D37" s="31">
        <v>2</v>
      </c>
      <c r="E37" s="32">
        <f>MatP10135C0Price</f>
        <v>35</v>
      </c>
      <c r="F37" s="33" t="str">
        <f>MatP10135C0PerText</f>
        <v>Roll</v>
      </c>
      <c r="G37" s="32">
        <f t="shared" si="0"/>
        <v>70</v>
      </c>
    </row>
    <row r="38" spans="1:7" x14ac:dyDescent="0.2">
      <c r="A38" s="24" t="str">
        <f>MatP9008C0Colour</f>
        <v>Not Specified</v>
      </c>
      <c r="B38" s="24" t="str">
        <f>IF(MatP9008C0Code=0,"",MatP9008C0Code)</f>
        <v/>
      </c>
      <c r="C38" s="24" t="str">
        <f>MatP9008C0Desc</f>
        <v>Battens (50mm x 25mm)</v>
      </c>
      <c r="D38" s="31">
        <v>192</v>
      </c>
      <c r="E38" s="32">
        <f>MatP9008C0Price</f>
        <v>0.9</v>
      </c>
      <c r="F38" s="33" t="str">
        <f>MatP9008C0PerText</f>
        <v>Metre</v>
      </c>
      <c r="G38" s="32">
        <f t="shared" si="0"/>
        <v>172.8</v>
      </c>
    </row>
    <row r="39" spans="1:7" x14ac:dyDescent="0.2">
      <c r="A39" s="24" t="str">
        <f>MatP8879C15Colour</f>
        <v>Not Specified</v>
      </c>
      <c r="B39" s="24" t="str">
        <f>IF(MatP8879C15Code=0,"",MatP8879C15Code)</f>
        <v/>
      </c>
      <c r="C39" s="24" t="str">
        <f>MatP8879C15Desc</f>
        <v>Universal Dry Ridge/Hip System (6m)</v>
      </c>
      <c r="D39" s="31">
        <v>2</v>
      </c>
      <c r="E39" s="32">
        <f>MatP8879C15Price</f>
        <v>28.09</v>
      </c>
      <c r="F39" s="33" t="str">
        <f>MatP8879C15PerText</f>
        <v>Pack</v>
      </c>
      <c r="G39" s="32">
        <f t="shared" si="0"/>
        <v>56.18</v>
      </c>
    </row>
    <row r="40" spans="1:7" x14ac:dyDescent="0.2">
      <c r="A40" s="24" t="str">
        <f>MatP8869C0Colour</f>
        <v>Not Specified</v>
      </c>
      <c r="B40" s="24" t="str">
        <f>IF(MatP8869C0Code=0,"",MatP8869C0Code)</f>
        <v/>
      </c>
      <c r="C40" s="24" t="str">
        <f>MatP8869C0Desc</f>
        <v>RH Uni-Fix Dry Verge Unit</v>
      </c>
      <c r="D40" s="31">
        <v>52</v>
      </c>
      <c r="E40" s="32">
        <f>MatP8869C0Price</f>
        <v>1.1000000000000001</v>
      </c>
      <c r="F40" s="33" t="str">
        <f>MatP8869C0PerText</f>
        <v>Each</v>
      </c>
      <c r="G40" s="32">
        <f t="shared" si="0"/>
        <v>57.2</v>
      </c>
    </row>
    <row r="41" spans="1:7" x14ac:dyDescent="0.2">
      <c r="A41" s="24" t="str">
        <f>MatP8857C0Colour</f>
        <v>Not Specified</v>
      </c>
      <c r="B41" s="24" t="str">
        <f>IF(MatP8857C0Code=0,"",MatP8857C0Code)</f>
        <v/>
      </c>
      <c r="C41" s="24" t="str">
        <f>MatP8857C0Desc</f>
        <v>LH Uni-Fix Dry Verge Unit</v>
      </c>
      <c r="D41" s="31">
        <v>52</v>
      </c>
      <c r="E41" s="32">
        <f>MatP8857C0Price</f>
        <v>1.1000000000000001</v>
      </c>
      <c r="F41" s="33" t="str">
        <f>MatP8857C0PerText</f>
        <v>Each</v>
      </c>
      <c r="G41" s="32">
        <f t="shared" si="0"/>
        <v>57.2</v>
      </c>
    </row>
    <row r="42" spans="1:7" x14ac:dyDescent="0.2">
      <c r="A42" s="24" t="str">
        <f>MatP8877C0Colour</f>
        <v>Not Specified</v>
      </c>
      <c r="B42" s="24" t="str">
        <f>IF(MatP8877C0Code=0,"",MatP8877C0Code)</f>
        <v/>
      </c>
      <c r="C42" s="24" t="str">
        <f>MatP8877C0Desc</f>
        <v>Uni-Fix Universal Ridge End Cap</v>
      </c>
      <c r="D42" s="31">
        <v>2</v>
      </c>
      <c r="E42" s="32">
        <f>MatP8877C0Price</f>
        <v>1.6</v>
      </c>
      <c r="F42" s="33" t="str">
        <f>MatP8877C0PerText</f>
        <v>Each</v>
      </c>
      <c r="G42" s="32">
        <f t="shared" si="0"/>
        <v>3.2</v>
      </c>
    </row>
    <row r="43" spans="1:7" x14ac:dyDescent="0.2">
      <c r="A43" s="24" t="str">
        <f>MatP8830C20Colour</f>
        <v>Not Specified</v>
      </c>
      <c r="B43" s="24" t="str">
        <f>IF(MatP8830C20Code=0,"",MatP8830C20Code)</f>
        <v/>
      </c>
      <c r="C43" s="24" t="str">
        <f>MatP8830C20Desc</f>
        <v>Dry Verge Starter Unit</v>
      </c>
      <c r="D43" s="31">
        <v>4</v>
      </c>
      <c r="E43" s="32">
        <f>MatP8830C20Price</f>
        <v>1.51</v>
      </c>
      <c r="F43" s="33" t="str">
        <f>MatP8830C20PerText</f>
        <v>Each</v>
      </c>
      <c r="G43" s="32">
        <f t="shared" si="0"/>
        <v>6.04</v>
      </c>
    </row>
    <row r="44" spans="1:7" x14ac:dyDescent="0.2">
      <c r="A44" s="24" t="str">
        <f>MatP8281C0Colour</f>
        <v>Not Specified</v>
      </c>
      <c r="B44" s="24" t="str">
        <f>IF(MatP8281C0Code=0,"",MatP8281C0Code)</f>
        <v/>
      </c>
      <c r="C44" s="24" t="str">
        <f>MatP8281C0Desc</f>
        <v>Generic Eave Insulation (1m)</v>
      </c>
      <c r="D44" s="31">
        <v>14</v>
      </c>
      <c r="E44" s="32">
        <f>MatP8281C0Price</f>
        <v>5</v>
      </c>
      <c r="F44" s="33" t="str">
        <f>MatP8281C0PerText</f>
        <v>Each</v>
      </c>
      <c r="G44" s="32">
        <f t="shared" si="0"/>
        <v>70</v>
      </c>
    </row>
    <row r="45" spans="1:7" x14ac:dyDescent="0.2">
      <c r="A45" s="24" t="str">
        <f>MatP8874C20Colour</f>
        <v>Not Specified</v>
      </c>
      <c r="B45" s="24" t="str">
        <f>IF(MatP8874C20Code=0,"",MatP8874C20Code)</f>
        <v/>
      </c>
      <c r="C45" s="24" t="str">
        <f>MatP8874C20Desc</f>
        <v>Underlay Support Tray (1.5m)</v>
      </c>
      <c r="D45" s="31">
        <v>9</v>
      </c>
      <c r="E45" s="32">
        <f>MatP8874C20Price</f>
        <v>1.5</v>
      </c>
      <c r="F45" s="33" t="str">
        <f>MatP8874C20PerText</f>
        <v>Each</v>
      </c>
      <c r="G45" s="32">
        <f t="shared" si="0"/>
        <v>13.5</v>
      </c>
    </row>
    <row r="46" spans="1:7" x14ac:dyDescent="0.2">
      <c r="A46" s="24" t="str">
        <f>MatP8872C539Colour</f>
        <v>Not Specified</v>
      </c>
      <c r="B46" s="24" t="str">
        <f>IF(MatP8872C539Code=0,"",MatP8872C539Code)</f>
        <v/>
      </c>
      <c r="C46" s="24" t="str">
        <f>MatP8872C539Desc</f>
        <v>Sidelock Tile Clips (TLE)</v>
      </c>
      <c r="D46" s="31">
        <v>204</v>
      </c>
      <c r="E46" s="32">
        <f>MatP8872C539Price</f>
        <v>7.0000000000000007E-2</v>
      </c>
      <c r="F46" s="33" t="str">
        <f>MatP8872C539PerText</f>
        <v>Each</v>
      </c>
      <c r="G46" s="32">
        <f t="shared" si="0"/>
        <v>14.280000000000001</v>
      </c>
    </row>
    <row r="47" spans="1:7" x14ac:dyDescent="0.2">
      <c r="A47" s="24" t="str">
        <f>MatP8826C539Colour</f>
        <v>Not Specified</v>
      </c>
      <c r="B47" s="24" t="str">
        <f>IF(MatP8826C539Code=0,"",MatP8826C539Code)</f>
        <v/>
      </c>
      <c r="C47" s="24" t="str">
        <f>MatP8826C539Desc</f>
        <v>Metal Batten End Clips</v>
      </c>
      <c r="D47" s="31">
        <v>52</v>
      </c>
      <c r="E47" s="32">
        <f>MatP8826C539Price</f>
        <v>0.28000000000000003</v>
      </c>
      <c r="F47" s="33" t="str">
        <f>MatP8826C539PerText</f>
        <v>Each</v>
      </c>
      <c r="G47" s="32">
        <f t="shared" si="0"/>
        <v>14.560000000000002</v>
      </c>
    </row>
    <row r="48" spans="1:7" x14ac:dyDescent="0.2">
      <c r="A48" s="24" t="str">
        <f>MatP8831C539Colour</f>
        <v>Not Specified</v>
      </c>
      <c r="B48" s="24" t="str">
        <f>IF(MatP8831C539Code=0,"",MatP8831C539Code)</f>
        <v/>
      </c>
      <c r="C48" s="24" t="str">
        <f>MatP8831C539Desc</f>
        <v>Eave Clip</v>
      </c>
      <c r="D48" s="31">
        <v>46</v>
      </c>
      <c r="E48" s="32">
        <f>MatP8831C539Price</f>
        <v>0.1</v>
      </c>
      <c r="F48" s="33" t="str">
        <f>MatP8831C539PerText</f>
        <v>Each</v>
      </c>
      <c r="G48" s="32">
        <f t="shared" si="0"/>
        <v>4.6000000000000005</v>
      </c>
    </row>
    <row r="49" spans="1:7" x14ac:dyDescent="0.2">
      <c r="A49" s="24" t="str">
        <f>MatP9318C0Colour</f>
        <v>Not Specified</v>
      </c>
      <c r="B49" s="24" t="str">
        <f>IF(MatP9318C0Code=0,"",MatP9318C0Code)</f>
        <v/>
      </c>
      <c r="C49" s="24" t="str">
        <f>MatP9318C0Desc</f>
        <v>45mm x 3.35mm Aluminium Nails</v>
      </c>
      <c r="D49" s="31">
        <v>2</v>
      </c>
      <c r="E49" s="32">
        <f>MatP9318C0Price</f>
        <v>7.28</v>
      </c>
      <c r="F49" s="33" t="str">
        <f>MatP9318C0PerText</f>
        <v>Kg</v>
      </c>
      <c r="G49" s="32">
        <f t="shared" si="0"/>
        <v>14.56</v>
      </c>
    </row>
    <row r="50" spans="1:7" x14ac:dyDescent="0.2">
      <c r="A50" s="24" t="str">
        <f>MatP9100C0Colour</f>
        <v>Not Specified</v>
      </c>
      <c r="B50" s="24" t="str">
        <f>IF(MatP9100C0Code=0,"",MatP9100C0Code)</f>
        <v/>
      </c>
      <c r="C50" s="24" t="str">
        <f>MatP9100C0Desc</f>
        <v>Batten Nails - 65mm x 3.35mm Galvanised</v>
      </c>
      <c r="D50" s="31">
        <v>2</v>
      </c>
      <c r="E50" s="32">
        <f>MatP9100C0Price</f>
        <v>4.5</v>
      </c>
      <c r="F50" s="33" t="str">
        <f>MatP9100C0PerText</f>
        <v>Kg</v>
      </c>
      <c r="G50" s="32">
        <f t="shared" si="0"/>
        <v>9</v>
      </c>
    </row>
    <row r="51" spans="1:7" x14ac:dyDescent="0.2">
      <c r="D51" s="31"/>
      <c r="E51" s="32"/>
      <c r="F51" s="33"/>
      <c r="G51" s="32"/>
    </row>
    <row r="52" spans="1:7" x14ac:dyDescent="0.2">
      <c r="F52" s="34" t="s">
        <v>5</v>
      </c>
      <c r="G52" s="35">
        <f>SUM(G35:G51)</f>
        <v>1300.52</v>
      </c>
    </row>
    <row r="53" spans="1:7" x14ac:dyDescent="0.2">
      <c r="G53" s="34"/>
    </row>
    <row r="54" spans="1:7" x14ac:dyDescent="0.2">
      <c r="A54" s="25" t="s">
        <v>15</v>
      </c>
      <c r="B54" s="25"/>
      <c r="D54" s="25"/>
      <c r="E54" s="25"/>
      <c r="F54" s="25"/>
      <c r="G54" s="25"/>
    </row>
    <row r="56" spans="1:7" x14ac:dyDescent="0.2">
      <c r="A56" s="102" t="s">
        <v>6</v>
      </c>
      <c r="B56" s="102"/>
      <c r="C56" s="102"/>
      <c r="D56" s="34" t="s">
        <v>7</v>
      </c>
      <c r="E56" s="34" t="s">
        <v>9</v>
      </c>
      <c r="F56" s="34" t="s">
        <v>8</v>
      </c>
      <c r="G56" s="34" t="s">
        <v>16</v>
      </c>
    </row>
    <row r="57" spans="1:7" x14ac:dyDescent="0.2">
      <c r="A57" s="103" t="str">
        <f>LabP8815R6L1G1Desc</f>
        <v>Main Area</v>
      </c>
      <c r="B57" s="103"/>
      <c r="C57" s="103"/>
      <c r="D57" s="36">
        <f>LabP8815R6L1G1Rate</f>
        <v>9</v>
      </c>
      <c r="E57" s="37">
        <f>'Z-GDBL6.7-Garage'!Area</f>
        <v>55.74</v>
      </c>
      <c r="F57" s="27" t="str">
        <f xml:space="preserve"> "" &amp; LabP8815R6L1G1Per</f>
        <v>m²</v>
      </c>
      <c r="G57" s="36">
        <f>D57 * E57</f>
        <v>501.66</v>
      </c>
    </row>
    <row r="58" spans="1:7" x14ac:dyDescent="0.2">
      <c r="A58" s="24" t="str">
        <f>LabP8815R0L1G2Desc</f>
        <v>Eave</v>
      </c>
      <c r="D58" s="36">
        <f>LabP8815R0L1G2Rate</f>
        <v>2.5</v>
      </c>
      <c r="E58" s="37">
        <f>'Z-GDBL6.7-Garage'!Eave</f>
        <v>13.4</v>
      </c>
      <c r="F58" s="27" t="str">
        <f xml:space="preserve"> "" &amp; LabP8815R0L1G2Per</f>
        <v>m</v>
      </c>
      <c r="G58" s="36">
        <f>D58 * E58</f>
        <v>33.5</v>
      </c>
    </row>
    <row r="59" spans="1:7" x14ac:dyDescent="0.2">
      <c r="A59" s="24" t="str">
        <f>LabP8815R0L1G3Desc</f>
        <v>Verge</v>
      </c>
      <c r="D59" s="36">
        <f>LabP8815R0L1G3Rate</f>
        <v>2.5</v>
      </c>
      <c r="E59" s="37">
        <f>LeftVerge+RightVerge</f>
        <v>16.64</v>
      </c>
      <c r="F59" s="27" t="str">
        <f xml:space="preserve"> "" &amp; LabP8815R0L1G3Per</f>
        <v>m</v>
      </c>
      <c r="G59" s="36">
        <f>D59 * E59</f>
        <v>41.6</v>
      </c>
    </row>
    <row r="60" spans="1:7" x14ac:dyDescent="0.2">
      <c r="A60" s="24" t="str">
        <f>LabP8815R0L1G8Desc</f>
        <v>Duo Ridge</v>
      </c>
      <c r="D60" s="36">
        <f>LabP8815R0L1G8Rate</f>
        <v>2.5</v>
      </c>
      <c r="E60" s="37">
        <f>'Z-GDBL6.7-Garage'!DuoRidge</f>
        <v>6.7</v>
      </c>
      <c r="F60" s="27" t="str">
        <f xml:space="preserve"> "" &amp; LabP8815R0L1G8Per</f>
        <v>m</v>
      </c>
      <c r="G60" s="36">
        <f>D60 * E60</f>
        <v>16.75</v>
      </c>
    </row>
    <row r="61" spans="1:7" x14ac:dyDescent="0.2">
      <c r="D61" s="36"/>
      <c r="E61" s="37"/>
      <c r="F61" s="27"/>
      <c r="G61" s="36"/>
    </row>
    <row r="62" spans="1:7" x14ac:dyDescent="0.2">
      <c r="A62" s="103"/>
      <c r="B62" s="103"/>
      <c r="C62" s="103"/>
      <c r="D62" s="36"/>
      <c r="E62" s="37"/>
      <c r="G62" s="36"/>
    </row>
    <row r="63" spans="1:7" x14ac:dyDescent="0.2">
      <c r="F63" s="34" t="s">
        <v>5</v>
      </c>
      <c r="G63" s="35">
        <f>SUM(G57:G62)</f>
        <v>593.5100000000001</v>
      </c>
    </row>
    <row r="67" spans="1:3" x14ac:dyDescent="0.2">
      <c r="A67" s="34"/>
      <c r="B67" s="38"/>
    </row>
    <row r="69" spans="1:3" x14ac:dyDescent="0.2">
      <c r="A69" s="34"/>
      <c r="B69" s="38"/>
    </row>
    <row r="71" spans="1:3" x14ac:dyDescent="0.2">
      <c r="A71" s="34"/>
      <c r="B71" s="38"/>
    </row>
    <row r="73" spans="1:3" x14ac:dyDescent="0.2">
      <c r="A73" s="34"/>
      <c r="B73" s="38"/>
    </row>
    <row r="76" spans="1:3" x14ac:dyDescent="0.2">
      <c r="A76" s="34"/>
      <c r="B76" s="38"/>
      <c r="C76" s="39"/>
    </row>
    <row r="78" spans="1:3" x14ac:dyDescent="0.2">
      <c r="A78" s="34"/>
      <c r="B78" s="38"/>
    </row>
    <row r="80" spans="1:3" x14ac:dyDescent="0.2">
      <c r="A80" s="34"/>
      <c r="B80" s="38"/>
      <c r="C80" s="39"/>
    </row>
    <row r="82" spans="1:3" x14ac:dyDescent="0.2">
      <c r="A82" s="34"/>
      <c r="B82" s="38"/>
    </row>
    <row r="84" spans="1:3" x14ac:dyDescent="0.2">
      <c r="A84" s="34"/>
      <c r="B84" s="38"/>
    </row>
    <row r="87" spans="1:3" x14ac:dyDescent="0.2">
      <c r="A87" s="34"/>
      <c r="B87" s="38"/>
    </row>
    <row r="89" spans="1:3" x14ac:dyDescent="0.2">
      <c r="A89" s="34"/>
      <c r="B89" s="38"/>
    </row>
    <row r="91" spans="1:3" x14ac:dyDescent="0.2">
      <c r="A91" s="34"/>
      <c r="B91" s="38"/>
      <c r="C91" s="39"/>
    </row>
    <row r="94" spans="1:3" x14ac:dyDescent="0.2">
      <c r="A94" s="34"/>
      <c r="B94" s="40"/>
      <c r="C94" s="23"/>
    </row>
    <row r="97" spans="1:2" x14ac:dyDescent="0.2">
      <c r="A97" s="39"/>
      <c r="B97" s="41"/>
    </row>
  </sheetData>
  <mergeCells count="5">
    <mergeCell ref="B4:F4"/>
    <mergeCell ref="B5:F5"/>
    <mergeCell ref="A56:C56"/>
    <mergeCell ref="A57:C57"/>
    <mergeCell ref="A62:C62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463A2-941D-4D85-9E74-4E2FDA7C8BC3}">
  <dimension ref="A1:G93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tr">
        <f>IF(ISBLANK(CustomerName),"",CustomerName)</f>
        <v>Example Customer</v>
      </c>
      <c r="C1" s="39"/>
      <c r="D1" s="39"/>
      <c r="E1" s="39"/>
      <c r="F1" s="39"/>
    </row>
    <row r="2" spans="1:7" x14ac:dyDescent="0.2">
      <c r="A2" s="23" t="s">
        <v>64</v>
      </c>
      <c r="B2" s="39" t="str">
        <f>IF(ISBLANK(SiteReference),"",SiteReference)</f>
        <v>Site Address Here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f>IF(ISBLANK(SiteName),"",SiteName)</f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233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227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51.56</v>
      </c>
      <c r="C9" s="23"/>
      <c r="D9" s="26"/>
    </row>
    <row r="10" spans="1:7" x14ac:dyDescent="0.2">
      <c r="A10" s="23" t="s">
        <v>114</v>
      </c>
      <c r="B10" s="24">
        <v>26.8</v>
      </c>
      <c r="C10" s="23"/>
      <c r="D10" s="26"/>
    </row>
    <row r="11" spans="1:7" x14ac:dyDescent="0.2">
      <c r="A11" s="23" t="s">
        <v>229</v>
      </c>
      <c r="B11" s="24">
        <v>18.96</v>
      </c>
      <c r="C11" s="23"/>
      <c r="D11" s="26"/>
    </row>
    <row r="12" spans="1:7" x14ac:dyDescent="0.2">
      <c r="A12" s="23" t="s">
        <v>117</v>
      </c>
      <c r="B12" s="24">
        <v>1</v>
      </c>
      <c r="C12" s="23"/>
      <c r="D12" s="26"/>
    </row>
    <row r="13" spans="1:7" x14ac:dyDescent="0.2">
      <c r="A13" s="23" t="s">
        <v>119</v>
      </c>
      <c r="B13" s="24">
        <v>600</v>
      </c>
      <c r="C13" s="23"/>
      <c r="D13" s="26"/>
    </row>
    <row r="14" spans="1:7" x14ac:dyDescent="0.2">
      <c r="A14" s="23" t="s">
        <v>120</v>
      </c>
      <c r="B14" s="24">
        <v>30</v>
      </c>
      <c r="C14" s="23"/>
      <c r="D14" s="26"/>
    </row>
    <row r="15" spans="1:7" x14ac:dyDescent="0.2">
      <c r="A15" s="23"/>
      <c r="C15" s="23"/>
      <c r="D15" s="26"/>
    </row>
    <row r="16" spans="1:7" x14ac:dyDescent="0.2">
      <c r="A16" s="23"/>
      <c r="B16" s="27"/>
      <c r="C16" s="23"/>
      <c r="D16" s="26"/>
    </row>
    <row r="17" spans="1:7" x14ac:dyDescent="0.2">
      <c r="A17" s="28" t="s">
        <v>10</v>
      </c>
      <c r="B17" s="28"/>
      <c r="C17" s="28"/>
      <c r="D17" s="28"/>
      <c r="E17" s="28"/>
      <c r="F17" s="28"/>
      <c r="G17" s="28"/>
    </row>
    <row r="18" spans="1:7" x14ac:dyDescent="0.2">
      <c r="A18" s="28"/>
      <c r="B18" s="28"/>
      <c r="C18" s="28"/>
      <c r="D18" s="28"/>
      <c r="E18" s="28"/>
      <c r="F18" s="28"/>
      <c r="G18" s="28"/>
    </row>
    <row r="19" spans="1:7" x14ac:dyDescent="0.2">
      <c r="A19" s="29" t="s">
        <v>136</v>
      </c>
      <c r="B19" s="24" t="s">
        <v>137</v>
      </c>
      <c r="C19" s="29"/>
      <c r="D19" s="29"/>
      <c r="E19" s="29"/>
      <c r="F19" s="29"/>
    </row>
    <row r="20" spans="1:7" x14ac:dyDescent="0.2">
      <c r="A20" s="29"/>
      <c r="B20" s="24" t="s">
        <v>230</v>
      </c>
      <c r="C20" s="29"/>
      <c r="D20" s="29"/>
      <c r="E20" s="29"/>
      <c r="F20" s="29"/>
    </row>
    <row r="21" spans="1:7" x14ac:dyDescent="0.2">
      <c r="A21" s="29" t="s">
        <v>121</v>
      </c>
      <c r="B21" s="24" t="s">
        <v>122</v>
      </c>
      <c r="C21" s="29"/>
      <c r="D21" s="29"/>
      <c r="E21" s="29"/>
      <c r="F21" s="29"/>
    </row>
    <row r="22" spans="1:7" x14ac:dyDescent="0.2">
      <c r="A22" s="29" t="s">
        <v>123</v>
      </c>
      <c r="B22" s="24" t="s">
        <v>124</v>
      </c>
      <c r="C22" s="29"/>
      <c r="D22" s="29"/>
      <c r="E22" s="29"/>
      <c r="F22" s="29"/>
    </row>
    <row r="23" spans="1:7" x14ac:dyDescent="0.2">
      <c r="A23" s="29"/>
      <c r="B23" s="24" t="s">
        <v>125</v>
      </c>
      <c r="C23" s="29"/>
      <c r="D23" s="29"/>
      <c r="E23" s="29"/>
      <c r="F23" s="29"/>
    </row>
    <row r="24" spans="1:7" x14ac:dyDescent="0.2">
      <c r="A24" s="29" t="s">
        <v>126</v>
      </c>
      <c r="B24" s="24" t="s">
        <v>127</v>
      </c>
      <c r="C24" s="29"/>
      <c r="D24" s="29"/>
      <c r="E24" s="29"/>
      <c r="F24" s="29"/>
    </row>
    <row r="25" spans="1:7" x14ac:dyDescent="0.2">
      <c r="A25" s="29"/>
      <c r="B25" s="24" t="s">
        <v>67</v>
      </c>
      <c r="C25" s="29"/>
      <c r="D25" s="29"/>
      <c r="E25" s="29"/>
      <c r="F25" s="29"/>
    </row>
    <row r="26" spans="1:7" x14ac:dyDescent="0.2">
      <c r="A26" s="29" t="s">
        <v>231</v>
      </c>
      <c r="B26" s="24" t="s">
        <v>232</v>
      </c>
      <c r="C26" s="29"/>
      <c r="D26" s="29"/>
      <c r="E26" s="29"/>
      <c r="F26" s="29"/>
    </row>
    <row r="27" spans="1:7" x14ac:dyDescent="0.2">
      <c r="A27" s="29" t="s">
        <v>132</v>
      </c>
      <c r="B27" s="24" t="s">
        <v>133</v>
      </c>
      <c r="C27" s="29"/>
      <c r="D27" s="29"/>
      <c r="E27" s="29"/>
      <c r="F27" s="29"/>
    </row>
    <row r="28" spans="1:7" x14ac:dyDescent="0.2">
      <c r="A28" s="29" t="s">
        <v>134</v>
      </c>
      <c r="B28" s="24" t="s">
        <v>135</v>
      </c>
      <c r="C28" s="29"/>
      <c r="D28" s="29"/>
      <c r="E28" s="29"/>
      <c r="F28" s="29"/>
    </row>
    <row r="29" spans="1:7" x14ac:dyDescent="0.2">
      <c r="A29" s="29"/>
      <c r="C29" s="29"/>
      <c r="D29" s="29"/>
      <c r="E29" s="29"/>
      <c r="F29" s="29"/>
    </row>
    <row r="30" spans="1:7" x14ac:dyDescent="0.2">
      <c r="A30" s="29"/>
      <c r="C30" s="29"/>
      <c r="D30" s="29"/>
      <c r="E30" s="29"/>
      <c r="F30" s="29"/>
    </row>
    <row r="31" spans="1:7" x14ac:dyDescent="0.2">
      <c r="A31" s="25" t="s">
        <v>14</v>
      </c>
      <c r="B31" s="25"/>
      <c r="C31" s="25"/>
      <c r="D31" s="25"/>
      <c r="E31" s="25"/>
      <c r="F31" s="25"/>
      <c r="G31" s="25"/>
    </row>
    <row r="33" spans="1:7" s="29" customFormat="1" x14ac:dyDescent="0.2">
      <c r="A33" s="29" t="s">
        <v>25</v>
      </c>
      <c r="B33" s="29" t="s">
        <v>38</v>
      </c>
      <c r="C33" s="29" t="s">
        <v>2</v>
      </c>
      <c r="D33" s="30" t="s">
        <v>9</v>
      </c>
      <c r="E33" s="30" t="s">
        <v>3</v>
      </c>
      <c r="F33" s="30" t="s">
        <v>4</v>
      </c>
      <c r="G33" s="30" t="s">
        <v>16</v>
      </c>
    </row>
    <row r="34" spans="1:7" x14ac:dyDescent="0.2">
      <c r="A34" s="24" t="str">
        <f>MatP8815C0Colour</f>
        <v>Not Specified</v>
      </c>
      <c r="B34" s="24" t="str">
        <f>IF(MatP8815C0Code=0,"",MatP8815C0Code)</f>
        <v/>
      </c>
      <c r="C34" s="24" t="str">
        <f>MatP8815C0Desc</f>
        <v>TLE Tile</v>
      </c>
      <c r="D34" s="31">
        <v>544</v>
      </c>
      <c r="E34" s="32">
        <f>MatP8815C0Price</f>
        <v>1.2</v>
      </c>
      <c r="F34" s="33" t="str">
        <f>MatP8815C0PerText</f>
        <v>Each</v>
      </c>
      <c r="G34" s="32">
        <f t="shared" ref="G34:G46" si="0">D34 * E34</f>
        <v>652.79999999999995</v>
      </c>
    </row>
    <row r="35" spans="1:7" x14ac:dyDescent="0.2">
      <c r="A35" s="24" t="str">
        <f>MatP8870C0Colour</f>
        <v>Not Specified</v>
      </c>
      <c r="B35" s="24" t="str">
        <f>IF(MatP8870C0Code=0,"",MatP8870C0Code)</f>
        <v/>
      </c>
      <c r="C35" s="24" t="str">
        <f>MatP8870C0Desc</f>
        <v>Ridge Tile (450mm)</v>
      </c>
      <c r="D35" s="31">
        <v>47</v>
      </c>
      <c r="E35" s="32">
        <f>MatP8870C0Price</f>
        <v>3.64</v>
      </c>
      <c r="F35" s="33" t="str">
        <f>MatP8870C0PerText</f>
        <v>Each</v>
      </c>
      <c r="G35" s="32">
        <f t="shared" si="0"/>
        <v>171.08</v>
      </c>
    </row>
    <row r="36" spans="1:7" x14ac:dyDescent="0.2">
      <c r="A36" s="24" t="str">
        <f>MatP10135C0Colour</f>
        <v>Not Specified</v>
      </c>
      <c r="B36" s="24" t="str">
        <f>IF(MatP10135C0Code=0,"",MatP10135C0Code)</f>
        <v/>
      </c>
      <c r="C36" s="24" t="str">
        <f>MatP10135C0Desc</f>
        <v>VP300 Vapour Permeable Underlay (50m x 1m)</v>
      </c>
      <c r="D36" s="31">
        <v>1.9999999701976776</v>
      </c>
      <c r="E36" s="32">
        <f>MatP10135C0Price</f>
        <v>35</v>
      </c>
      <c r="F36" s="33" t="str">
        <f>MatP10135C0PerText</f>
        <v>Roll</v>
      </c>
      <c r="G36" s="32">
        <f t="shared" si="0"/>
        <v>69.999998956918716</v>
      </c>
    </row>
    <row r="37" spans="1:7" x14ac:dyDescent="0.2">
      <c r="A37" s="24" t="str">
        <f>MatP9008C0Colour</f>
        <v>Not Specified</v>
      </c>
      <c r="B37" s="24" t="str">
        <f>IF(MatP9008C0Code=0,"",MatP9008C0Code)</f>
        <v/>
      </c>
      <c r="C37" s="24" t="str">
        <f>MatP9008C0Desc</f>
        <v>Battens (50mm x 25mm)</v>
      </c>
      <c r="D37" s="31">
        <v>251</v>
      </c>
      <c r="E37" s="32">
        <f>MatP9008C0Price</f>
        <v>0.9</v>
      </c>
      <c r="F37" s="33" t="str">
        <f>MatP9008C0PerText</f>
        <v>Metre</v>
      </c>
      <c r="G37" s="32">
        <f t="shared" si="0"/>
        <v>225.9</v>
      </c>
    </row>
    <row r="38" spans="1:7" x14ac:dyDescent="0.2">
      <c r="A38" s="24" t="str">
        <f>MatP8847C20Colour</f>
        <v>Not Specified</v>
      </c>
      <c r="B38" s="24" t="str">
        <f>IF(MatP8847C20Code=0,"",MatP8847C20Code)</f>
        <v/>
      </c>
      <c r="C38" s="24" t="str">
        <f>MatP8847C20Desc</f>
        <v>Hip Support Tray (1.2m)</v>
      </c>
      <c r="D38" s="31">
        <v>20</v>
      </c>
      <c r="E38" s="32">
        <f>MatP8847C20Price</f>
        <v>2.13</v>
      </c>
      <c r="F38" s="33" t="str">
        <f>MatP8847C20PerText</f>
        <v>Each</v>
      </c>
      <c r="G38" s="32">
        <f t="shared" si="0"/>
        <v>42.599999999999994</v>
      </c>
    </row>
    <row r="39" spans="1:7" x14ac:dyDescent="0.2">
      <c r="A39" s="24" t="str">
        <f>MatP8879C15Colour</f>
        <v>Not Specified</v>
      </c>
      <c r="B39" s="24" t="str">
        <f>IF(MatP8879C15Code=0,"",MatP8879C15Code)</f>
        <v/>
      </c>
      <c r="C39" s="24" t="str">
        <f>MatP8879C15Desc</f>
        <v>Universal Dry Ridge/Hip System (6m)</v>
      </c>
      <c r="D39" s="31">
        <v>4</v>
      </c>
      <c r="E39" s="32">
        <f>MatP8879C15Price</f>
        <v>28.09</v>
      </c>
      <c r="F39" s="33" t="str">
        <f>MatP8879C15PerText</f>
        <v>Pack</v>
      </c>
      <c r="G39" s="32">
        <f t="shared" si="0"/>
        <v>112.36</v>
      </c>
    </row>
    <row r="40" spans="1:7" x14ac:dyDescent="0.2">
      <c r="A40" s="24" t="str">
        <f>MatP8281C0Colour</f>
        <v>Not Specified</v>
      </c>
      <c r="B40" s="24" t="str">
        <f>IF(MatP8281C0Code=0,"",MatP8281C0Code)</f>
        <v/>
      </c>
      <c r="C40" s="24" t="str">
        <f>MatP8281C0Desc</f>
        <v>Generic Eave Insulation (1m)</v>
      </c>
      <c r="D40" s="31">
        <v>27</v>
      </c>
      <c r="E40" s="32">
        <f>MatP8281C0Price</f>
        <v>5</v>
      </c>
      <c r="F40" s="33" t="str">
        <f>MatP8281C0PerText</f>
        <v>Each</v>
      </c>
      <c r="G40" s="32">
        <f t="shared" si="0"/>
        <v>135</v>
      </c>
    </row>
    <row r="41" spans="1:7" x14ac:dyDescent="0.2">
      <c r="A41" s="24" t="str">
        <f>MatP8874C20Colour</f>
        <v>Not Specified</v>
      </c>
      <c r="B41" s="24" t="str">
        <f>IF(MatP8874C20Code=0,"",MatP8874C20Code)</f>
        <v/>
      </c>
      <c r="C41" s="24" t="str">
        <f>MatP8874C20Desc</f>
        <v>Underlay Support Tray (1.5m)</v>
      </c>
      <c r="D41" s="31">
        <v>18</v>
      </c>
      <c r="E41" s="32">
        <f>MatP8874C20Price</f>
        <v>1.5</v>
      </c>
      <c r="F41" s="33" t="str">
        <f>MatP8874C20PerText</f>
        <v>Each</v>
      </c>
      <c r="G41" s="32">
        <f t="shared" si="0"/>
        <v>27</v>
      </c>
    </row>
    <row r="42" spans="1:7" x14ac:dyDescent="0.2">
      <c r="A42" s="24" t="str">
        <f>MatP8872C539Colour</f>
        <v>Not Specified</v>
      </c>
      <c r="B42" s="24" t="str">
        <f>IF(MatP8872C539Code=0,"",MatP8872C539Code)</f>
        <v/>
      </c>
      <c r="C42" s="24" t="str">
        <f>MatP8872C539Desc</f>
        <v>Sidelock Tile Clips (TLE)</v>
      </c>
      <c r="D42" s="31">
        <v>172</v>
      </c>
      <c r="E42" s="32">
        <f>MatP8872C539Price</f>
        <v>7.0000000000000007E-2</v>
      </c>
      <c r="F42" s="33" t="str">
        <f>MatP8872C539PerText</f>
        <v>Each</v>
      </c>
      <c r="G42" s="32">
        <f t="shared" si="0"/>
        <v>12.040000000000001</v>
      </c>
    </row>
    <row r="43" spans="1:7" x14ac:dyDescent="0.2">
      <c r="A43" s="24" t="str">
        <f>MatP8831C539Colour</f>
        <v>Not Specified</v>
      </c>
      <c r="B43" s="24" t="str">
        <f>IF(MatP8831C539Code=0,"",MatP8831C539Code)</f>
        <v/>
      </c>
      <c r="C43" s="24" t="str">
        <f>MatP8831C539Desc</f>
        <v>Eave Clip</v>
      </c>
      <c r="D43" s="31">
        <v>90</v>
      </c>
      <c r="E43" s="32">
        <f>MatP8831C539Price</f>
        <v>0.1</v>
      </c>
      <c r="F43" s="33" t="str">
        <f>MatP8831C539PerText</f>
        <v>Each</v>
      </c>
      <c r="G43" s="32">
        <f t="shared" si="0"/>
        <v>9</v>
      </c>
    </row>
    <row r="44" spans="1:7" x14ac:dyDescent="0.2">
      <c r="A44" s="24" t="str">
        <f>MatP9318C0Colour</f>
        <v>Not Specified</v>
      </c>
      <c r="B44" s="24" t="str">
        <f>IF(MatP9318C0Code=0,"",MatP9318C0Code)</f>
        <v/>
      </c>
      <c r="C44" s="24" t="str">
        <f>MatP9318C0Desc</f>
        <v>45mm x 3.35mm Aluminium Nails</v>
      </c>
      <c r="D44" s="31">
        <v>1.9999999403953552</v>
      </c>
      <c r="E44" s="32">
        <f>MatP9318C0Price</f>
        <v>7.28</v>
      </c>
      <c r="F44" s="33" t="str">
        <f>MatP9318C0PerText</f>
        <v>Kg</v>
      </c>
      <c r="G44" s="32">
        <f t="shared" si="0"/>
        <v>14.559999566078186</v>
      </c>
    </row>
    <row r="45" spans="1:7" x14ac:dyDescent="0.2">
      <c r="A45" s="24" t="str">
        <f>MatP9100C0Colour</f>
        <v>Not Specified</v>
      </c>
      <c r="B45" s="24" t="str">
        <f>IF(MatP9100C0Code=0,"",MatP9100C0Code)</f>
        <v/>
      </c>
      <c r="C45" s="24" t="str">
        <f>MatP9100C0Desc</f>
        <v>Batten Nails - 65mm x 3.35mm Galvanised</v>
      </c>
      <c r="D45" s="31">
        <v>2</v>
      </c>
      <c r="E45" s="32">
        <f>MatP9100C0Price</f>
        <v>4.5</v>
      </c>
      <c r="F45" s="33" t="str">
        <f>MatP9100C0PerText</f>
        <v>Kg</v>
      </c>
      <c r="G45" s="32">
        <f t="shared" si="0"/>
        <v>9</v>
      </c>
    </row>
    <row r="46" spans="1:7" x14ac:dyDescent="0.2">
      <c r="A46" s="24" t="str">
        <f>MatLeadHipSaddleColour</f>
        <v>Not Specified</v>
      </c>
      <c r="B46" s="24" t="str">
        <f>IF(MatLeadHipSaddleCode=0,"",MatLeadHipSaddleCode)</f>
        <v/>
      </c>
      <c r="C46" s="24" t="str">
        <f>MatLeadHipSaddleDesc</f>
        <v>Lead Hip Saddle</v>
      </c>
      <c r="D46" s="31">
        <v>2</v>
      </c>
      <c r="E46" s="32">
        <f>MatLeadHipSaddlePrice</f>
        <v>15</v>
      </c>
      <c r="F46" s="33" t="str">
        <f>MatLeadHipSaddlePerText</f>
        <v>Each</v>
      </c>
      <c r="G46" s="32">
        <f t="shared" si="0"/>
        <v>30</v>
      </c>
    </row>
    <row r="47" spans="1:7" x14ac:dyDescent="0.2">
      <c r="D47" s="31"/>
      <c r="E47" s="32"/>
      <c r="F47" s="33"/>
      <c r="G47" s="32"/>
    </row>
    <row r="48" spans="1:7" x14ac:dyDescent="0.2">
      <c r="F48" s="34" t="s">
        <v>5</v>
      </c>
      <c r="G48" s="35">
        <f>SUM(G34:G47)</f>
        <v>1511.3399985229967</v>
      </c>
    </row>
    <row r="49" spans="1:7" x14ac:dyDescent="0.2">
      <c r="G49" s="34"/>
    </row>
    <row r="50" spans="1:7" x14ac:dyDescent="0.2">
      <c r="A50" s="25" t="s">
        <v>15</v>
      </c>
      <c r="B50" s="25"/>
      <c r="D50" s="25"/>
      <c r="E50" s="25"/>
      <c r="F50" s="25"/>
      <c r="G50" s="25"/>
    </row>
    <row r="52" spans="1:7" x14ac:dyDescent="0.2">
      <c r="A52" s="102" t="s">
        <v>6</v>
      </c>
      <c r="B52" s="102"/>
      <c r="C52" s="102"/>
      <c r="D52" s="34" t="s">
        <v>7</v>
      </c>
      <c r="E52" s="34" t="s">
        <v>9</v>
      </c>
      <c r="F52" s="34" t="s">
        <v>8</v>
      </c>
      <c r="G52" s="34" t="s">
        <v>16</v>
      </c>
    </row>
    <row r="53" spans="1:7" x14ac:dyDescent="0.2">
      <c r="A53" s="103" t="str">
        <f>LabP8815R6L1G1Desc</f>
        <v>Main Area</v>
      </c>
      <c r="B53" s="103"/>
      <c r="C53" s="103"/>
      <c r="D53" s="36">
        <f>LabP8815R6L1G1Rate</f>
        <v>9</v>
      </c>
      <c r="E53" s="37">
        <f>'Z-GDBLHIP-Garage'!Area</f>
        <v>51.56</v>
      </c>
      <c r="F53" s="27" t="str">
        <f xml:space="preserve"> "" &amp; LabP8815R6L1G1Per</f>
        <v>m²</v>
      </c>
      <c r="G53" s="36">
        <f>D53 * E53</f>
        <v>464.04</v>
      </c>
    </row>
    <row r="54" spans="1:7" x14ac:dyDescent="0.2">
      <c r="A54" s="24" t="str">
        <f>LabP8815R0L1G2Desc</f>
        <v>Eave</v>
      </c>
      <c r="D54" s="36">
        <f>LabP8815R0L1G2Rate</f>
        <v>2.5</v>
      </c>
      <c r="E54" s="37">
        <f>'Z-GDBLHIP-Garage'!Eave</f>
        <v>26.8</v>
      </c>
      <c r="F54" s="27" t="str">
        <f xml:space="preserve"> "" &amp; LabP8815R0L1G2Per</f>
        <v>m</v>
      </c>
      <c r="G54" s="36">
        <f>D54 * E54</f>
        <v>67</v>
      </c>
    </row>
    <row r="55" spans="1:7" x14ac:dyDescent="0.2">
      <c r="A55" s="24" t="str">
        <f>LabP8815R15L1G6Desc</f>
        <v>Hip</v>
      </c>
      <c r="D55" s="36">
        <f>LabP8815R15L1G6Rate</f>
        <v>15</v>
      </c>
      <c r="E55" s="37">
        <f>'Z-GDBLHIP-Garage'!Hip</f>
        <v>18.96</v>
      </c>
      <c r="F55" s="27" t="str">
        <f xml:space="preserve"> "" &amp; LabP8815R15L1G6Per</f>
        <v>m</v>
      </c>
      <c r="G55" s="36">
        <f>D55 * E55</f>
        <v>284.40000000000003</v>
      </c>
    </row>
    <row r="56" spans="1:7" x14ac:dyDescent="0.2">
      <c r="A56" s="24" t="str">
        <f>LabP8815R0L1G8Desc</f>
        <v>Duo Ridge</v>
      </c>
      <c r="D56" s="36">
        <f>LabP8815R0L1G8Rate</f>
        <v>2.5</v>
      </c>
      <c r="E56" s="37">
        <f>'Z-GDBLHIP-Garage'!DuoRidge</f>
        <v>1</v>
      </c>
      <c r="F56" s="27" t="str">
        <f xml:space="preserve"> "" &amp; LabP8815R0L1G8Per</f>
        <v>m</v>
      </c>
      <c r="G56" s="36">
        <f>D56 * E56</f>
        <v>2.5</v>
      </c>
    </row>
    <row r="57" spans="1:7" x14ac:dyDescent="0.2">
      <c r="D57" s="36"/>
      <c r="E57" s="37"/>
      <c r="F57" s="27"/>
      <c r="G57" s="36"/>
    </row>
    <row r="58" spans="1:7" x14ac:dyDescent="0.2">
      <c r="A58" s="103"/>
      <c r="B58" s="103"/>
      <c r="C58" s="103"/>
      <c r="D58" s="36"/>
      <c r="E58" s="37"/>
      <c r="G58" s="36"/>
    </row>
    <row r="59" spans="1:7" x14ac:dyDescent="0.2">
      <c r="F59" s="34" t="s">
        <v>5</v>
      </c>
      <c r="G59" s="35">
        <f>SUM(G53:G58)</f>
        <v>817.94</v>
      </c>
    </row>
    <row r="63" spans="1:7" x14ac:dyDescent="0.2">
      <c r="A63" s="34"/>
      <c r="B63" s="38"/>
    </row>
    <row r="65" spans="1:3" x14ac:dyDescent="0.2">
      <c r="A65" s="34"/>
      <c r="B65" s="38"/>
    </row>
    <row r="67" spans="1:3" x14ac:dyDescent="0.2">
      <c r="A67" s="34"/>
      <c r="B67" s="38"/>
    </row>
    <row r="69" spans="1:3" x14ac:dyDescent="0.2">
      <c r="A69" s="34"/>
      <c r="B69" s="38"/>
    </row>
    <row r="72" spans="1:3" x14ac:dyDescent="0.2">
      <c r="A72" s="34"/>
      <c r="B72" s="38"/>
      <c r="C72" s="39"/>
    </row>
    <row r="74" spans="1:3" x14ac:dyDescent="0.2">
      <c r="A74" s="34"/>
      <c r="B74" s="38"/>
    </row>
    <row r="76" spans="1:3" x14ac:dyDescent="0.2">
      <c r="A76" s="34"/>
      <c r="B76" s="38"/>
      <c r="C76" s="39"/>
    </row>
    <row r="78" spans="1:3" x14ac:dyDescent="0.2">
      <c r="A78" s="34"/>
      <c r="B78" s="38"/>
    </row>
    <row r="80" spans="1:3" x14ac:dyDescent="0.2">
      <c r="A80" s="34"/>
      <c r="B80" s="38"/>
    </row>
    <row r="83" spans="1:3" x14ac:dyDescent="0.2">
      <c r="A83" s="34"/>
      <c r="B83" s="38"/>
    </row>
    <row r="85" spans="1:3" x14ac:dyDescent="0.2">
      <c r="A85" s="34"/>
      <c r="B85" s="38"/>
    </row>
    <row r="87" spans="1:3" x14ac:dyDescent="0.2">
      <c r="A87" s="34"/>
      <c r="B87" s="38"/>
      <c r="C87" s="39"/>
    </row>
    <row r="90" spans="1:3" x14ac:dyDescent="0.2">
      <c r="A90" s="34"/>
      <c r="B90" s="40"/>
      <c r="C90" s="23"/>
    </row>
    <row r="93" spans="1:3" x14ac:dyDescent="0.2">
      <c r="A93" s="39"/>
      <c r="B93" s="41"/>
    </row>
  </sheetData>
  <mergeCells count="5">
    <mergeCell ref="B4:F4"/>
    <mergeCell ref="B5:F5"/>
    <mergeCell ref="A52:C52"/>
    <mergeCell ref="A53:C53"/>
    <mergeCell ref="A58:C58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99D35-3F59-44FF-AA01-2A3354EE43F8}">
  <dimension ref="A1:G90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tr">
        <f>IF(ISBLANK(CustomerName),"",CustomerName)</f>
        <v>Example Customer</v>
      </c>
      <c r="C1" s="39"/>
      <c r="D1" s="39"/>
      <c r="E1" s="39"/>
      <c r="F1" s="39"/>
    </row>
    <row r="2" spans="1:7" x14ac:dyDescent="0.2">
      <c r="A2" s="23" t="s">
        <v>64</v>
      </c>
      <c r="B2" s="39" t="str">
        <f>IF(ISBLANK(SiteReference),"",SiteReference)</f>
        <v>Site Address Here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f>IF(ISBLANK(SiteName),"",SiteName)</f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235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227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59.9</v>
      </c>
      <c r="C9" s="23"/>
      <c r="D9" s="26"/>
    </row>
    <row r="10" spans="1:7" x14ac:dyDescent="0.2">
      <c r="A10" s="23" t="s">
        <v>114</v>
      </c>
      <c r="B10" s="24">
        <v>28.8</v>
      </c>
      <c r="C10" s="23"/>
      <c r="D10" s="26"/>
    </row>
    <row r="11" spans="1:7" x14ac:dyDescent="0.2">
      <c r="A11" s="23" t="s">
        <v>229</v>
      </c>
      <c r="B11" s="24">
        <v>22</v>
      </c>
      <c r="C11" s="23"/>
      <c r="D11" s="26"/>
    </row>
    <row r="12" spans="1:7" x14ac:dyDescent="0.2">
      <c r="A12" s="23" t="s">
        <v>119</v>
      </c>
      <c r="B12" s="24">
        <v>600</v>
      </c>
      <c r="C12" s="23"/>
      <c r="D12" s="26"/>
    </row>
    <row r="13" spans="1:7" x14ac:dyDescent="0.2">
      <c r="A13" s="23" t="s">
        <v>120</v>
      </c>
      <c r="B13" s="24">
        <v>30</v>
      </c>
      <c r="C13" s="23"/>
      <c r="D13" s="26"/>
    </row>
    <row r="14" spans="1:7" x14ac:dyDescent="0.2">
      <c r="A14" s="23"/>
      <c r="C14" s="23"/>
      <c r="D14" s="26"/>
    </row>
    <row r="15" spans="1:7" x14ac:dyDescent="0.2">
      <c r="A15" s="23"/>
      <c r="B15" s="27"/>
      <c r="C15" s="23"/>
      <c r="D15" s="26"/>
    </row>
    <row r="16" spans="1:7" x14ac:dyDescent="0.2">
      <c r="A16" s="28" t="s">
        <v>10</v>
      </c>
      <c r="B16" s="28"/>
      <c r="C16" s="28"/>
      <c r="D16" s="28"/>
      <c r="E16" s="28"/>
      <c r="F16" s="28"/>
      <c r="G16" s="28"/>
    </row>
    <row r="17" spans="1:7" x14ac:dyDescent="0.2">
      <c r="A17" s="28"/>
      <c r="B17" s="28"/>
      <c r="C17" s="28"/>
      <c r="D17" s="28"/>
      <c r="E17" s="28"/>
      <c r="F17" s="28"/>
      <c r="G17" s="28"/>
    </row>
    <row r="18" spans="1:7" x14ac:dyDescent="0.2">
      <c r="A18" s="29" t="s">
        <v>121</v>
      </c>
      <c r="B18" s="24" t="s">
        <v>122</v>
      </c>
      <c r="C18" s="29"/>
      <c r="D18" s="29"/>
      <c r="E18" s="29"/>
      <c r="F18" s="29"/>
    </row>
    <row r="19" spans="1:7" x14ac:dyDescent="0.2">
      <c r="A19" s="29" t="s">
        <v>123</v>
      </c>
      <c r="B19" s="24" t="s">
        <v>124</v>
      </c>
      <c r="C19" s="29"/>
      <c r="D19" s="29"/>
      <c r="E19" s="29"/>
      <c r="F19" s="29"/>
    </row>
    <row r="20" spans="1:7" x14ac:dyDescent="0.2">
      <c r="A20" s="29"/>
      <c r="B20" s="24" t="s">
        <v>125</v>
      </c>
      <c r="C20" s="29"/>
      <c r="D20" s="29"/>
      <c r="E20" s="29"/>
      <c r="F20" s="29"/>
    </row>
    <row r="21" spans="1:7" x14ac:dyDescent="0.2">
      <c r="A21" s="29" t="s">
        <v>126</v>
      </c>
      <c r="B21" s="24" t="s">
        <v>127</v>
      </c>
      <c r="C21" s="29"/>
      <c r="D21" s="29"/>
      <c r="E21" s="29"/>
      <c r="F21" s="29"/>
    </row>
    <row r="22" spans="1:7" x14ac:dyDescent="0.2">
      <c r="A22" s="29"/>
      <c r="B22" s="24" t="s">
        <v>67</v>
      </c>
      <c r="C22" s="29"/>
      <c r="D22" s="29"/>
      <c r="E22" s="29"/>
      <c r="F22" s="29"/>
    </row>
    <row r="23" spans="1:7" x14ac:dyDescent="0.2">
      <c r="A23" s="29" t="s">
        <v>231</v>
      </c>
      <c r="B23" s="24" t="s">
        <v>232</v>
      </c>
      <c r="C23" s="29"/>
      <c r="D23" s="29"/>
      <c r="E23" s="29"/>
      <c r="F23" s="29"/>
    </row>
    <row r="24" spans="1:7" x14ac:dyDescent="0.2">
      <c r="A24" s="29" t="s">
        <v>134</v>
      </c>
      <c r="B24" s="24" t="s">
        <v>135</v>
      </c>
      <c r="C24" s="29"/>
      <c r="D24" s="29"/>
      <c r="E24" s="29"/>
      <c r="F24" s="29"/>
    </row>
    <row r="25" spans="1:7" x14ac:dyDescent="0.2">
      <c r="A25" s="29" t="s">
        <v>136</v>
      </c>
      <c r="B25" s="24" t="s">
        <v>137</v>
      </c>
      <c r="C25" s="29"/>
      <c r="D25" s="29"/>
      <c r="E25" s="29"/>
      <c r="F25" s="29"/>
    </row>
    <row r="26" spans="1:7" x14ac:dyDescent="0.2">
      <c r="A26" s="29"/>
      <c r="B26" s="24" t="s">
        <v>230</v>
      </c>
      <c r="C26" s="29"/>
      <c r="D26" s="29"/>
      <c r="E26" s="29"/>
      <c r="F26" s="29"/>
    </row>
    <row r="27" spans="1:7" x14ac:dyDescent="0.2">
      <c r="A27" s="29"/>
      <c r="C27" s="29"/>
      <c r="D27" s="29"/>
      <c r="E27" s="29"/>
      <c r="F27" s="29"/>
    </row>
    <row r="28" spans="1:7" x14ac:dyDescent="0.2">
      <c r="A28" s="29"/>
      <c r="C28" s="29"/>
      <c r="D28" s="29"/>
      <c r="E28" s="29"/>
      <c r="F28" s="29"/>
    </row>
    <row r="29" spans="1:7" x14ac:dyDescent="0.2">
      <c r="A29" s="25" t="s">
        <v>14</v>
      </c>
      <c r="B29" s="25"/>
      <c r="C29" s="25"/>
      <c r="D29" s="25"/>
      <c r="E29" s="25"/>
      <c r="F29" s="25"/>
      <c r="G29" s="25"/>
    </row>
    <row r="31" spans="1:7" s="29" customFormat="1" x14ac:dyDescent="0.2">
      <c r="A31" s="29" t="s">
        <v>25</v>
      </c>
      <c r="B31" s="29" t="s">
        <v>38</v>
      </c>
      <c r="C31" s="29" t="s">
        <v>2</v>
      </c>
      <c r="D31" s="30" t="s">
        <v>9</v>
      </c>
      <c r="E31" s="30" t="s">
        <v>3</v>
      </c>
      <c r="F31" s="30" t="s">
        <v>4</v>
      </c>
      <c r="G31" s="30" t="s">
        <v>16</v>
      </c>
    </row>
    <row r="32" spans="1:7" x14ac:dyDescent="0.2">
      <c r="A32" s="24" t="str">
        <f>MatP8815C0Colour</f>
        <v>Not Specified</v>
      </c>
      <c r="B32" s="24" t="str">
        <f>IF(MatP8815C0Code=0,"",MatP8815C0Code)</f>
        <v/>
      </c>
      <c r="C32" s="24" t="str">
        <f>MatP8815C0Desc</f>
        <v>TLE Tile</v>
      </c>
      <c r="D32" s="31">
        <v>593</v>
      </c>
      <c r="E32" s="32">
        <f>MatP8815C0Price</f>
        <v>1.2</v>
      </c>
      <c r="F32" s="33" t="str">
        <f>MatP8815C0PerText</f>
        <v>Each</v>
      </c>
      <c r="G32" s="32">
        <f t="shared" ref="G32:G44" si="0">D32 * E32</f>
        <v>711.6</v>
      </c>
    </row>
    <row r="33" spans="1:7" x14ac:dyDescent="0.2">
      <c r="A33" s="24" t="str">
        <f>MatP8870C0Colour</f>
        <v>Not Specified</v>
      </c>
      <c r="B33" s="24" t="str">
        <f>IF(MatP8870C0Code=0,"",MatP8870C0Code)</f>
        <v/>
      </c>
      <c r="C33" s="24" t="str">
        <f>MatP8870C0Desc</f>
        <v>Ridge Tile (450mm)</v>
      </c>
      <c r="D33" s="31">
        <v>52</v>
      </c>
      <c r="E33" s="32">
        <f>MatP8870C0Price</f>
        <v>3.64</v>
      </c>
      <c r="F33" s="33" t="str">
        <f>MatP8870C0PerText</f>
        <v>Each</v>
      </c>
      <c r="G33" s="32">
        <f t="shared" si="0"/>
        <v>189.28</v>
      </c>
    </row>
    <row r="34" spans="1:7" x14ac:dyDescent="0.2">
      <c r="A34" s="24" t="str">
        <f>MatP10135C0Colour</f>
        <v>Not Specified</v>
      </c>
      <c r="B34" s="24" t="str">
        <f>IF(MatP10135C0Code=0,"",MatP10135C0Code)</f>
        <v/>
      </c>
      <c r="C34" s="24" t="str">
        <f>MatP10135C0Desc</f>
        <v>VP300 Vapour Permeable Underlay (50m x 1m)</v>
      </c>
      <c r="D34" s="31">
        <v>2.9999999403953552</v>
      </c>
      <c r="E34" s="32">
        <f>MatP10135C0Price</f>
        <v>35</v>
      </c>
      <c r="F34" s="33" t="str">
        <f>MatP10135C0PerText</f>
        <v>Roll</v>
      </c>
      <c r="G34" s="32">
        <f t="shared" si="0"/>
        <v>104.99999791383743</v>
      </c>
    </row>
    <row r="35" spans="1:7" x14ac:dyDescent="0.2">
      <c r="A35" s="24" t="str">
        <f>MatP9008C0Colour</f>
        <v>Not Specified</v>
      </c>
      <c r="B35" s="24" t="str">
        <f>IF(MatP9008C0Code=0,"",MatP9008C0Code)</f>
        <v/>
      </c>
      <c r="C35" s="24" t="str">
        <f>MatP9008C0Desc</f>
        <v>Battens (50mm x 25mm)</v>
      </c>
      <c r="D35" s="31">
        <v>287</v>
      </c>
      <c r="E35" s="32">
        <f>MatP9008C0Price</f>
        <v>0.9</v>
      </c>
      <c r="F35" s="33" t="str">
        <f>MatP9008C0PerText</f>
        <v>Metre</v>
      </c>
      <c r="G35" s="32">
        <f t="shared" si="0"/>
        <v>258.3</v>
      </c>
    </row>
    <row r="36" spans="1:7" x14ac:dyDescent="0.2">
      <c r="A36" s="24" t="str">
        <f>MatP8847C20Colour</f>
        <v>Not Specified</v>
      </c>
      <c r="B36" s="24" t="str">
        <f>IF(MatP8847C20Code=0,"",MatP8847C20Code)</f>
        <v/>
      </c>
      <c r="C36" s="24" t="str">
        <f>MatP8847C20Desc</f>
        <v>Hip Support Tray (1.2m)</v>
      </c>
      <c r="D36" s="31">
        <v>20</v>
      </c>
      <c r="E36" s="32">
        <f>MatP8847C20Price</f>
        <v>2.13</v>
      </c>
      <c r="F36" s="33" t="str">
        <f>MatP8847C20PerText</f>
        <v>Each</v>
      </c>
      <c r="G36" s="32">
        <f t="shared" si="0"/>
        <v>42.599999999999994</v>
      </c>
    </row>
    <row r="37" spans="1:7" x14ac:dyDescent="0.2">
      <c r="A37" s="24" t="str">
        <f>MatP8879C15Colour</f>
        <v>Not Specified</v>
      </c>
      <c r="B37" s="24" t="str">
        <f>IF(MatP8879C15Code=0,"",MatP8879C15Code)</f>
        <v/>
      </c>
      <c r="C37" s="24" t="str">
        <f>MatP8879C15Desc</f>
        <v>Universal Dry Ridge/Hip System (6m)</v>
      </c>
      <c r="D37" s="31">
        <v>4</v>
      </c>
      <c r="E37" s="32">
        <f>MatP8879C15Price</f>
        <v>28.09</v>
      </c>
      <c r="F37" s="33" t="str">
        <f>MatP8879C15PerText</f>
        <v>Pack</v>
      </c>
      <c r="G37" s="32">
        <f t="shared" si="0"/>
        <v>112.36</v>
      </c>
    </row>
    <row r="38" spans="1:7" x14ac:dyDescent="0.2">
      <c r="A38" s="24" t="str">
        <f>MatP8281C0Colour</f>
        <v>Not Specified</v>
      </c>
      <c r="B38" s="24" t="str">
        <f>IF(MatP8281C0Code=0,"",MatP8281C0Code)</f>
        <v/>
      </c>
      <c r="C38" s="24" t="str">
        <f>MatP8281C0Desc</f>
        <v>Generic Eave Insulation (1m)</v>
      </c>
      <c r="D38" s="31">
        <v>29</v>
      </c>
      <c r="E38" s="32">
        <f>MatP8281C0Price</f>
        <v>5</v>
      </c>
      <c r="F38" s="33" t="str">
        <f>MatP8281C0PerText</f>
        <v>Each</v>
      </c>
      <c r="G38" s="32">
        <f t="shared" si="0"/>
        <v>145</v>
      </c>
    </row>
    <row r="39" spans="1:7" x14ac:dyDescent="0.2">
      <c r="A39" s="24" t="str">
        <f>MatP8874C20Colour</f>
        <v>Not Specified</v>
      </c>
      <c r="B39" s="24" t="str">
        <f>IF(MatP8874C20Code=0,"",MatP8874C20Code)</f>
        <v/>
      </c>
      <c r="C39" s="24" t="str">
        <f>MatP8874C20Desc</f>
        <v>Underlay Support Tray (1.5m)</v>
      </c>
      <c r="D39" s="31">
        <v>20</v>
      </c>
      <c r="E39" s="32">
        <f>MatP8874C20Price</f>
        <v>1.5</v>
      </c>
      <c r="F39" s="33" t="str">
        <f>MatP8874C20PerText</f>
        <v>Each</v>
      </c>
      <c r="G39" s="32">
        <f t="shared" si="0"/>
        <v>30</v>
      </c>
    </row>
    <row r="40" spans="1:7" x14ac:dyDescent="0.2">
      <c r="A40" s="24" t="str">
        <f>MatP8872C539Colour</f>
        <v>Not Specified</v>
      </c>
      <c r="B40" s="24" t="str">
        <f>IF(MatP8872C539Code=0,"",MatP8872C539Code)</f>
        <v/>
      </c>
      <c r="C40" s="24" t="str">
        <f>MatP8872C539Desc</f>
        <v>Sidelock Tile Clips (TLE)</v>
      </c>
      <c r="D40" s="31">
        <v>191</v>
      </c>
      <c r="E40" s="32">
        <f>MatP8872C539Price</f>
        <v>7.0000000000000007E-2</v>
      </c>
      <c r="F40" s="33" t="str">
        <f>MatP8872C539PerText</f>
        <v>Each</v>
      </c>
      <c r="G40" s="32">
        <f t="shared" si="0"/>
        <v>13.370000000000001</v>
      </c>
    </row>
    <row r="41" spans="1:7" x14ac:dyDescent="0.2">
      <c r="A41" s="24" t="str">
        <f>MatP8831C539Colour</f>
        <v>Not Specified</v>
      </c>
      <c r="B41" s="24" t="str">
        <f>IF(MatP8831C539Code=0,"",MatP8831C539Code)</f>
        <v/>
      </c>
      <c r="C41" s="24" t="str">
        <f>MatP8831C539Desc</f>
        <v>Eave Clip</v>
      </c>
      <c r="D41" s="31">
        <v>96</v>
      </c>
      <c r="E41" s="32">
        <f>MatP8831C539Price</f>
        <v>0.1</v>
      </c>
      <c r="F41" s="33" t="str">
        <f>MatP8831C539PerText</f>
        <v>Each</v>
      </c>
      <c r="G41" s="32">
        <f t="shared" si="0"/>
        <v>9.6000000000000014</v>
      </c>
    </row>
    <row r="42" spans="1:7" x14ac:dyDescent="0.2">
      <c r="A42" s="24" t="str">
        <f>MatP9318C0Colour</f>
        <v>Not Specified</v>
      </c>
      <c r="B42" s="24" t="str">
        <f>IF(MatP9318C0Code=0,"",MatP9318C0Code)</f>
        <v/>
      </c>
      <c r="C42" s="24" t="str">
        <f>MatP9318C0Desc</f>
        <v>45mm x 3.35mm Aluminium Nails</v>
      </c>
      <c r="D42" s="31">
        <v>2.0000000596046448</v>
      </c>
      <c r="E42" s="32">
        <f>MatP9318C0Price</f>
        <v>7.28</v>
      </c>
      <c r="F42" s="33" t="str">
        <f>MatP9318C0PerText</f>
        <v>Kg</v>
      </c>
      <c r="G42" s="32">
        <f t="shared" si="0"/>
        <v>14.560000433921815</v>
      </c>
    </row>
    <row r="43" spans="1:7" x14ac:dyDescent="0.2">
      <c r="A43" s="24" t="str">
        <f>MatP9100C0Colour</f>
        <v>Not Specified</v>
      </c>
      <c r="B43" s="24" t="str">
        <f>IF(MatP9100C0Code=0,"",MatP9100C0Code)</f>
        <v/>
      </c>
      <c r="C43" s="24" t="str">
        <f>MatP9100C0Desc</f>
        <v>Batten Nails - 65mm x 3.35mm Galvanised</v>
      </c>
      <c r="D43" s="31">
        <v>2</v>
      </c>
      <c r="E43" s="32">
        <f>MatP9100C0Price</f>
        <v>4.5</v>
      </c>
      <c r="F43" s="33" t="str">
        <f>MatP9100C0PerText</f>
        <v>Kg</v>
      </c>
      <c r="G43" s="32">
        <f t="shared" si="0"/>
        <v>9</v>
      </c>
    </row>
    <row r="44" spans="1:7" x14ac:dyDescent="0.2">
      <c r="A44" s="24" t="str">
        <f>MatLeadHipSaddleColour</f>
        <v>Not Specified</v>
      </c>
      <c r="B44" s="24" t="str">
        <f>IF(MatLeadHipSaddleCode=0,"",MatLeadHipSaddleCode)</f>
        <v/>
      </c>
      <c r="C44" s="24" t="str">
        <f>MatLeadHipSaddleDesc</f>
        <v>Lead Hip Saddle</v>
      </c>
      <c r="D44" s="31">
        <v>2</v>
      </c>
      <c r="E44" s="32">
        <f>MatLeadHipSaddlePrice</f>
        <v>15</v>
      </c>
      <c r="F44" s="33" t="str">
        <f>MatLeadHipSaddlePerText</f>
        <v>Each</v>
      </c>
      <c r="G44" s="32">
        <f t="shared" si="0"/>
        <v>30</v>
      </c>
    </row>
    <row r="45" spans="1:7" x14ac:dyDescent="0.2">
      <c r="D45" s="31"/>
      <c r="E45" s="32"/>
      <c r="F45" s="33"/>
      <c r="G45" s="32"/>
    </row>
    <row r="46" spans="1:7" x14ac:dyDescent="0.2">
      <c r="F46" s="34" t="s">
        <v>5</v>
      </c>
      <c r="G46" s="35">
        <f>SUM(G32:G45)</f>
        <v>1670.669998347759</v>
      </c>
    </row>
    <row r="47" spans="1:7" x14ac:dyDescent="0.2">
      <c r="G47" s="34"/>
    </row>
    <row r="48" spans="1:7" x14ac:dyDescent="0.2">
      <c r="A48" s="25" t="s">
        <v>15</v>
      </c>
      <c r="B48" s="25"/>
      <c r="D48" s="25"/>
      <c r="E48" s="25"/>
      <c r="F48" s="25"/>
      <c r="G48" s="25"/>
    </row>
    <row r="50" spans="1:7" x14ac:dyDescent="0.2">
      <c r="A50" s="102" t="s">
        <v>6</v>
      </c>
      <c r="B50" s="102"/>
      <c r="C50" s="102"/>
      <c r="D50" s="34" t="s">
        <v>7</v>
      </c>
      <c r="E50" s="34" t="s">
        <v>9</v>
      </c>
      <c r="F50" s="34" t="s">
        <v>8</v>
      </c>
      <c r="G50" s="34" t="s">
        <v>16</v>
      </c>
    </row>
    <row r="51" spans="1:7" x14ac:dyDescent="0.2">
      <c r="A51" s="103" t="str">
        <f>LabP8815R6L1G1Desc</f>
        <v>Main Area</v>
      </c>
      <c r="B51" s="103"/>
      <c r="C51" s="103"/>
      <c r="D51" s="36">
        <f>LabP8815R6L1G1Rate</f>
        <v>9</v>
      </c>
      <c r="E51" s="37">
        <f>'Z-GDBLPYR-Garage'!Area</f>
        <v>59.9</v>
      </c>
      <c r="F51" s="27" t="str">
        <f xml:space="preserve"> "" &amp; LabP8815R6L1G1Per</f>
        <v>m²</v>
      </c>
      <c r="G51" s="36">
        <f>D51 * E51</f>
        <v>539.1</v>
      </c>
    </row>
    <row r="52" spans="1:7" x14ac:dyDescent="0.2">
      <c r="A52" s="24" t="str">
        <f>LabP8815R0L1G2Desc</f>
        <v>Eave</v>
      </c>
      <c r="D52" s="36">
        <f>LabP8815R0L1G2Rate</f>
        <v>2.5</v>
      </c>
      <c r="E52" s="37">
        <f>'Z-GDBLPYR-Garage'!Eave</f>
        <v>28.8</v>
      </c>
      <c r="F52" s="27" t="str">
        <f xml:space="preserve"> "" &amp; LabP8815R0L1G2Per</f>
        <v>m</v>
      </c>
      <c r="G52" s="36">
        <f>D52 * E52</f>
        <v>72</v>
      </c>
    </row>
    <row r="53" spans="1:7" x14ac:dyDescent="0.2">
      <c r="A53" s="24" t="str">
        <f>LabP8815R15L1G6Desc</f>
        <v>Hip</v>
      </c>
      <c r="D53" s="36">
        <f>LabP8815R15L1G6Rate</f>
        <v>15</v>
      </c>
      <c r="E53" s="37">
        <f>'Z-GDBLPYR-Garage'!Hip</f>
        <v>22</v>
      </c>
      <c r="F53" s="27" t="str">
        <f xml:space="preserve"> "" &amp; LabP8815R15L1G6Per</f>
        <v>m</v>
      </c>
      <c r="G53" s="36">
        <f>D53 * E53</f>
        <v>330</v>
      </c>
    </row>
    <row r="54" spans="1:7" x14ac:dyDescent="0.2">
      <c r="D54" s="36"/>
      <c r="E54" s="37"/>
      <c r="F54" s="27"/>
      <c r="G54" s="36"/>
    </row>
    <row r="55" spans="1:7" x14ac:dyDescent="0.2">
      <c r="A55" s="103"/>
      <c r="B55" s="103"/>
      <c r="C55" s="103"/>
      <c r="D55" s="36"/>
      <c r="E55" s="37"/>
      <c r="G55" s="36"/>
    </row>
    <row r="56" spans="1:7" x14ac:dyDescent="0.2">
      <c r="F56" s="34" t="s">
        <v>5</v>
      </c>
      <c r="G56" s="35">
        <f>SUM(G51:G55)</f>
        <v>941.1</v>
      </c>
    </row>
    <row r="60" spans="1:7" x14ac:dyDescent="0.2">
      <c r="A60" s="34"/>
      <c r="B60" s="38"/>
    </row>
    <row r="62" spans="1:7" x14ac:dyDescent="0.2">
      <c r="A62" s="34"/>
      <c r="B62" s="38"/>
    </row>
    <row r="64" spans="1:7" x14ac:dyDescent="0.2">
      <c r="A64" s="34"/>
      <c r="B64" s="38"/>
    </row>
    <row r="66" spans="1:3" x14ac:dyDescent="0.2">
      <c r="A66" s="34"/>
      <c r="B66" s="38"/>
    </row>
    <row r="69" spans="1:3" x14ac:dyDescent="0.2">
      <c r="A69" s="34"/>
      <c r="B69" s="38"/>
      <c r="C69" s="39"/>
    </row>
    <row r="71" spans="1:3" x14ac:dyDescent="0.2">
      <c r="A71" s="34"/>
      <c r="B71" s="38"/>
    </row>
    <row r="73" spans="1:3" x14ac:dyDescent="0.2">
      <c r="A73" s="34"/>
      <c r="B73" s="38"/>
      <c r="C73" s="39"/>
    </row>
    <row r="75" spans="1:3" x14ac:dyDescent="0.2">
      <c r="A75" s="34"/>
      <c r="B75" s="38"/>
    </row>
    <row r="77" spans="1:3" x14ac:dyDescent="0.2">
      <c r="A77" s="34"/>
      <c r="B77" s="38"/>
    </row>
    <row r="80" spans="1:3" x14ac:dyDescent="0.2">
      <c r="A80" s="34"/>
      <c r="B80" s="38"/>
    </row>
    <row r="82" spans="1:3" x14ac:dyDescent="0.2">
      <c r="A82" s="34"/>
      <c r="B82" s="38"/>
    </row>
    <row r="84" spans="1:3" x14ac:dyDescent="0.2">
      <c r="A84" s="34"/>
      <c r="B84" s="38"/>
      <c r="C84" s="39"/>
    </row>
    <row r="87" spans="1:3" x14ac:dyDescent="0.2">
      <c r="A87" s="34"/>
      <c r="B87" s="40"/>
      <c r="C87" s="23"/>
    </row>
    <row r="90" spans="1:3" x14ac:dyDescent="0.2">
      <c r="A90" s="39"/>
      <c r="B90" s="41"/>
    </row>
  </sheetData>
  <mergeCells count="5">
    <mergeCell ref="B4:F4"/>
    <mergeCell ref="B5:F5"/>
    <mergeCell ref="A50:C50"/>
    <mergeCell ref="A51:C51"/>
    <mergeCell ref="A55:C55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34AE0-46C9-4A20-8F05-69E3DD14CCAE}">
  <dimension ref="A1:G97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tr">
        <f>IF(ISBLANK(CustomerName),"",CustomerName)</f>
        <v>Example Customer</v>
      </c>
      <c r="C1" s="39"/>
      <c r="D1" s="39"/>
      <c r="E1" s="39"/>
      <c r="F1" s="39"/>
    </row>
    <row r="2" spans="1:7" x14ac:dyDescent="0.2">
      <c r="A2" s="23" t="s">
        <v>64</v>
      </c>
      <c r="B2" s="39" t="str">
        <f>IF(ISBLANK(SiteReference),"",SiteReference)</f>
        <v>Site Address Here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f>IF(ISBLANK(SiteName),"",SiteName)</f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237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227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29.12</v>
      </c>
      <c r="C9" s="23"/>
      <c r="D9" s="26"/>
    </row>
    <row r="10" spans="1:7" x14ac:dyDescent="0.2">
      <c r="A10" s="23" t="s">
        <v>114</v>
      </c>
      <c r="B10" s="24">
        <v>7</v>
      </c>
      <c r="C10" s="23"/>
      <c r="D10" s="26"/>
    </row>
    <row r="11" spans="1:7" x14ac:dyDescent="0.2">
      <c r="A11" s="23" t="s">
        <v>115</v>
      </c>
      <c r="B11" s="24">
        <v>8.32</v>
      </c>
      <c r="C11" s="23"/>
      <c r="D11" s="26"/>
    </row>
    <row r="12" spans="1:7" x14ac:dyDescent="0.2">
      <c r="A12" s="23" t="s">
        <v>116</v>
      </c>
      <c r="B12" s="24">
        <v>8.32</v>
      </c>
      <c r="C12" s="23"/>
      <c r="D12" s="26"/>
    </row>
    <row r="13" spans="1:7" x14ac:dyDescent="0.2">
      <c r="A13" s="23" t="s">
        <v>117</v>
      </c>
      <c r="B13" s="24">
        <v>3.5</v>
      </c>
      <c r="C13" s="23"/>
      <c r="D13" s="26"/>
    </row>
    <row r="14" spans="1:7" x14ac:dyDescent="0.2">
      <c r="A14" s="23" t="s">
        <v>119</v>
      </c>
      <c r="B14" s="24">
        <v>600</v>
      </c>
      <c r="C14" s="23"/>
      <c r="D14" s="26"/>
    </row>
    <row r="15" spans="1:7" x14ac:dyDescent="0.2">
      <c r="A15" s="23" t="s">
        <v>120</v>
      </c>
      <c r="B15" s="24">
        <v>30</v>
      </c>
      <c r="C15" s="23"/>
      <c r="D15" s="26"/>
    </row>
    <row r="16" spans="1:7" x14ac:dyDescent="0.2">
      <c r="A16" s="23"/>
      <c r="C16" s="23"/>
      <c r="D16" s="26"/>
    </row>
    <row r="17" spans="1:7" x14ac:dyDescent="0.2">
      <c r="A17" s="23"/>
      <c r="B17" s="27"/>
      <c r="C17" s="23"/>
      <c r="D17" s="26"/>
    </row>
    <row r="18" spans="1:7" x14ac:dyDescent="0.2">
      <c r="A18" s="28" t="s">
        <v>10</v>
      </c>
      <c r="B18" s="28"/>
      <c r="C18" s="28"/>
      <c r="D18" s="28"/>
      <c r="E18" s="28"/>
      <c r="F18" s="28"/>
      <c r="G18" s="28"/>
    </row>
    <row r="19" spans="1:7" x14ac:dyDescent="0.2">
      <c r="A19" s="28"/>
      <c r="B19" s="28"/>
      <c r="C19" s="28"/>
      <c r="D19" s="28"/>
      <c r="E19" s="28"/>
      <c r="F19" s="28"/>
      <c r="G19" s="28"/>
    </row>
    <row r="20" spans="1:7" x14ac:dyDescent="0.2">
      <c r="A20" s="29" t="s">
        <v>121</v>
      </c>
      <c r="B20" s="24" t="s">
        <v>122</v>
      </c>
      <c r="C20" s="29"/>
      <c r="D20" s="29"/>
      <c r="E20" s="29"/>
      <c r="F20" s="29"/>
    </row>
    <row r="21" spans="1:7" x14ac:dyDescent="0.2">
      <c r="A21" s="29" t="s">
        <v>123</v>
      </c>
      <c r="B21" s="24" t="s">
        <v>124</v>
      </c>
      <c r="C21" s="29"/>
      <c r="D21" s="29"/>
      <c r="E21" s="29"/>
      <c r="F21" s="29"/>
    </row>
    <row r="22" spans="1:7" x14ac:dyDescent="0.2">
      <c r="A22" s="29"/>
      <c r="B22" s="24" t="s">
        <v>125</v>
      </c>
      <c r="C22" s="29"/>
      <c r="D22" s="29"/>
      <c r="E22" s="29"/>
      <c r="F22" s="29"/>
    </row>
    <row r="23" spans="1:7" x14ac:dyDescent="0.2">
      <c r="A23" s="29" t="s">
        <v>126</v>
      </c>
      <c r="B23" s="24" t="s">
        <v>127</v>
      </c>
      <c r="C23" s="29"/>
      <c r="D23" s="29"/>
      <c r="E23" s="29"/>
      <c r="F23" s="29"/>
    </row>
    <row r="24" spans="1:7" x14ac:dyDescent="0.2">
      <c r="A24" s="29"/>
      <c r="B24" s="24" t="s">
        <v>67</v>
      </c>
      <c r="C24" s="29"/>
      <c r="D24" s="29"/>
      <c r="E24" s="29"/>
      <c r="F24" s="29"/>
    </row>
    <row r="25" spans="1:7" x14ac:dyDescent="0.2">
      <c r="A25" s="29" t="s">
        <v>129</v>
      </c>
      <c r="B25" s="24" t="s">
        <v>130</v>
      </c>
      <c r="C25" s="29"/>
      <c r="D25" s="29"/>
      <c r="E25" s="29"/>
      <c r="F25" s="29"/>
    </row>
    <row r="26" spans="1:7" x14ac:dyDescent="0.2">
      <c r="A26" s="29"/>
      <c r="B26" s="24" t="s">
        <v>150</v>
      </c>
      <c r="C26" s="29"/>
      <c r="D26" s="29"/>
      <c r="E26" s="29"/>
      <c r="F26" s="29"/>
    </row>
    <row r="27" spans="1:7" x14ac:dyDescent="0.2">
      <c r="A27" s="29" t="s">
        <v>132</v>
      </c>
      <c r="B27" s="24" t="s">
        <v>133</v>
      </c>
      <c r="C27" s="29"/>
      <c r="D27" s="29"/>
      <c r="E27" s="29"/>
      <c r="F27" s="29"/>
    </row>
    <row r="28" spans="1:7" x14ac:dyDescent="0.2">
      <c r="A28" s="29" t="s">
        <v>134</v>
      </c>
      <c r="B28" s="24" t="s">
        <v>135</v>
      </c>
      <c r="C28" s="29"/>
      <c r="D28" s="29"/>
      <c r="E28" s="29"/>
      <c r="F28" s="29"/>
    </row>
    <row r="29" spans="1:7" x14ac:dyDescent="0.2">
      <c r="A29" s="29" t="s">
        <v>136</v>
      </c>
      <c r="B29" s="24" t="s">
        <v>137</v>
      </c>
      <c r="C29" s="29"/>
      <c r="D29" s="29"/>
      <c r="E29" s="29"/>
      <c r="F29" s="29"/>
    </row>
    <row r="30" spans="1:7" x14ac:dyDescent="0.2">
      <c r="A30" s="29"/>
      <c r="C30" s="29"/>
      <c r="D30" s="29"/>
      <c r="E30" s="29"/>
      <c r="F30" s="29"/>
    </row>
    <row r="31" spans="1:7" x14ac:dyDescent="0.2">
      <c r="A31" s="29"/>
      <c r="C31" s="29"/>
      <c r="D31" s="29"/>
      <c r="E31" s="29"/>
      <c r="F31" s="29"/>
    </row>
    <row r="32" spans="1:7" x14ac:dyDescent="0.2">
      <c r="A32" s="25" t="s">
        <v>14</v>
      </c>
      <c r="B32" s="25"/>
      <c r="C32" s="25"/>
      <c r="D32" s="25"/>
      <c r="E32" s="25"/>
      <c r="F32" s="25"/>
      <c r="G32" s="25"/>
    </row>
    <row r="34" spans="1:7" s="29" customFormat="1" x14ac:dyDescent="0.2">
      <c r="A34" s="29" t="s">
        <v>25</v>
      </c>
      <c r="B34" s="29" t="s">
        <v>38</v>
      </c>
      <c r="C34" s="29" t="s">
        <v>2</v>
      </c>
      <c r="D34" s="30" t="s">
        <v>9</v>
      </c>
      <c r="E34" s="30" t="s">
        <v>3</v>
      </c>
      <c r="F34" s="30" t="s">
        <v>4</v>
      </c>
      <c r="G34" s="30" t="s">
        <v>16</v>
      </c>
    </row>
    <row r="35" spans="1:7" x14ac:dyDescent="0.2">
      <c r="A35" s="24" t="str">
        <f>MatP8815C0Colour</f>
        <v>Not Specified</v>
      </c>
      <c r="B35" s="24" t="str">
        <f>IF(MatP8815C0Code=0,"",MatP8815C0Code)</f>
        <v/>
      </c>
      <c r="C35" s="24" t="str">
        <f>MatP8815C0Desc</f>
        <v>TLE Tile</v>
      </c>
      <c r="D35" s="31">
        <v>297</v>
      </c>
      <c r="E35" s="32">
        <f>MatP8815C0Price</f>
        <v>1.2</v>
      </c>
      <c r="F35" s="33" t="str">
        <f>MatP8815C0PerText</f>
        <v>Each</v>
      </c>
      <c r="G35" s="32">
        <f t="shared" ref="G35:G50" si="0">D35 * E35</f>
        <v>356.4</v>
      </c>
    </row>
    <row r="36" spans="1:7" x14ac:dyDescent="0.2">
      <c r="A36" s="24" t="str">
        <f>MatP8870C0Colour</f>
        <v>Not Specified</v>
      </c>
      <c r="B36" s="24" t="str">
        <f>IF(MatP8870C0Code=0,"",MatP8870C0Code)</f>
        <v/>
      </c>
      <c r="C36" s="24" t="str">
        <f>MatP8870C0Desc</f>
        <v>Ridge Tile (450mm)</v>
      </c>
      <c r="D36" s="31">
        <v>8</v>
      </c>
      <c r="E36" s="32">
        <f>MatP8870C0Price</f>
        <v>3.64</v>
      </c>
      <c r="F36" s="33" t="str">
        <f>MatP8870C0PerText</f>
        <v>Each</v>
      </c>
      <c r="G36" s="32">
        <f t="shared" si="0"/>
        <v>29.12</v>
      </c>
    </row>
    <row r="37" spans="1:7" x14ac:dyDescent="0.2">
      <c r="A37" s="24" t="str">
        <f>MatP10135C0Colour</f>
        <v>Not Specified</v>
      </c>
      <c r="B37" s="24" t="str">
        <f>IF(MatP10135C0Code=0,"",MatP10135C0Code)</f>
        <v/>
      </c>
      <c r="C37" s="24" t="str">
        <f>MatP10135C0Desc</f>
        <v>VP300 Vapour Permeable Underlay (50m x 1m)</v>
      </c>
      <c r="D37" s="31">
        <v>1</v>
      </c>
      <c r="E37" s="32">
        <f>MatP10135C0Price</f>
        <v>35</v>
      </c>
      <c r="F37" s="33" t="str">
        <f>MatP10135C0PerText</f>
        <v>Roll</v>
      </c>
      <c r="G37" s="32">
        <f t="shared" si="0"/>
        <v>35</v>
      </c>
    </row>
    <row r="38" spans="1:7" x14ac:dyDescent="0.2">
      <c r="A38" s="24" t="str">
        <f>MatP9008C0Colour</f>
        <v>Not Specified</v>
      </c>
      <c r="B38" s="24" t="str">
        <f>IF(MatP9008C0Code=0,"",MatP9008C0Code)</f>
        <v/>
      </c>
      <c r="C38" s="24" t="str">
        <f>MatP9008C0Desc</f>
        <v>Battens (50mm x 25mm)</v>
      </c>
      <c r="D38" s="31">
        <v>101</v>
      </c>
      <c r="E38" s="32">
        <f>MatP9008C0Price</f>
        <v>0.9</v>
      </c>
      <c r="F38" s="33" t="str">
        <f>MatP9008C0PerText</f>
        <v>Metre</v>
      </c>
      <c r="G38" s="32">
        <f t="shared" si="0"/>
        <v>90.9</v>
      </c>
    </row>
    <row r="39" spans="1:7" x14ac:dyDescent="0.2">
      <c r="A39" s="24" t="str">
        <f>MatP8879C15Colour</f>
        <v>Not Specified</v>
      </c>
      <c r="B39" s="24" t="str">
        <f>IF(MatP8879C15Code=0,"",MatP8879C15Code)</f>
        <v/>
      </c>
      <c r="C39" s="24" t="str">
        <f>MatP8879C15Desc</f>
        <v>Universal Dry Ridge/Hip System (6m)</v>
      </c>
      <c r="D39" s="31">
        <v>1</v>
      </c>
      <c r="E39" s="32">
        <f>MatP8879C15Price</f>
        <v>28.09</v>
      </c>
      <c r="F39" s="33" t="str">
        <f>MatP8879C15PerText</f>
        <v>Pack</v>
      </c>
      <c r="G39" s="32">
        <f t="shared" si="0"/>
        <v>28.09</v>
      </c>
    </row>
    <row r="40" spans="1:7" x14ac:dyDescent="0.2">
      <c r="A40" s="24" t="str">
        <f>MatP8869C0Colour</f>
        <v>Not Specified</v>
      </c>
      <c r="B40" s="24" t="str">
        <f>IF(MatP8869C0Code=0,"",MatP8869C0Code)</f>
        <v/>
      </c>
      <c r="C40" s="24" t="str">
        <f>MatP8869C0Desc</f>
        <v>RH Uni-Fix Dry Verge Unit</v>
      </c>
      <c r="D40" s="31">
        <v>52</v>
      </c>
      <c r="E40" s="32">
        <f>MatP8869C0Price</f>
        <v>1.1000000000000001</v>
      </c>
      <c r="F40" s="33" t="str">
        <f>MatP8869C0PerText</f>
        <v>Each</v>
      </c>
      <c r="G40" s="32">
        <f t="shared" si="0"/>
        <v>57.2</v>
      </c>
    </row>
    <row r="41" spans="1:7" x14ac:dyDescent="0.2">
      <c r="A41" s="24" t="str">
        <f>MatP8857C0Colour</f>
        <v>Not Specified</v>
      </c>
      <c r="B41" s="24" t="str">
        <f>IF(MatP8857C0Code=0,"",MatP8857C0Code)</f>
        <v/>
      </c>
      <c r="C41" s="24" t="str">
        <f>MatP8857C0Desc</f>
        <v>LH Uni-Fix Dry Verge Unit</v>
      </c>
      <c r="D41" s="31">
        <v>52</v>
      </c>
      <c r="E41" s="32">
        <f>MatP8857C0Price</f>
        <v>1.1000000000000001</v>
      </c>
      <c r="F41" s="33" t="str">
        <f>MatP8857C0PerText</f>
        <v>Each</v>
      </c>
      <c r="G41" s="32">
        <f t="shared" si="0"/>
        <v>57.2</v>
      </c>
    </row>
    <row r="42" spans="1:7" x14ac:dyDescent="0.2">
      <c r="A42" s="24" t="str">
        <f>MatP8877C0Colour</f>
        <v>Not Specified</v>
      </c>
      <c r="B42" s="24" t="str">
        <f>IF(MatP8877C0Code=0,"",MatP8877C0Code)</f>
        <v/>
      </c>
      <c r="C42" s="24" t="str">
        <f>MatP8877C0Desc</f>
        <v>Uni-Fix Universal Ridge End Cap</v>
      </c>
      <c r="D42" s="31">
        <v>2</v>
      </c>
      <c r="E42" s="32">
        <f>MatP8877C0Price</f>
        <v>1.6</v>
      </c>
      <c r="F42" s="33" t="str">
        <f>MatP8877C0PerText</f>
        <v>Each</v>
      </c>
      <c r="G42" s="32">
        <f t="shared" si="0"/>
        <v>3.2</v>
      </c>
    </row>
    <row r="43" spans="1:7" x14ac:dyDescent="0.2">
      <c r="A43" s="24" t="str">
        <f>MatP8830C20Colour</f>
        <v>Not Specified</v>
      </c>
      <c r="B43" s="24" t="str">
        <f>IF(MatP8830C20Code=0,"",MatP8830C20Code)</f>
        <v/>
      </c>
      <c r="C43" s="24" t="str">
        <f>MatP8830C20Desc</f>
        <v>Dry Verge Starter Unit</v>
      </c>
      <c r="D43" s="31">
        <v>4</v>
      </c>
      <c r="E43" s="32">
        <f>MatP8830C20Price</f>
        <v>1.51</v>
      </c>
      <c r="F43" s="33" t="str">
        <f>MatP8830C20PerText</f>
        <v>Each</v>
      </c>
      <c r="G43" s="32">
        <f t="shared" si="0"/>
        <v>6.04</v>
      </c>
    </row>
    <row r="44" spans="1:7" x14ac:dyDescent="0.2">
      <c r="A44" s="24" t="str">
        <f>MatP8281C0Colour</f>
        <v>Not Specified</v>
      </c>
      <c r="B44" s="24" t="str">
        <f>IF(MatP8281C0Code=0,"",MatP8281C0Code)</f>
        <v/>
      </c>
      <c r="C44" s="24" t="str">
        <f>MatP8281C0Desc</f>
        <v>Generic Eave Insulation (1m)</v>
      </c>
      <c r="D44" s="31">
        <v>7</v>
      </c>
      <c r="E44" s="32">
        <f>MatP8281C0Price</f>
        <v>5</v>
      </c>
      <c r="F44" s="33" t="str">
        <f>MatP8281C0PerText</f>
        <v>Each</v>
      </c>
      <c r="G44" s="32">
        <f t="shared" si="0"/>
        <v>35</v>
      </c>
    </row>
    <row r="45" spans="1:7" x14ac:dyDescent="0.2">
      <c r="A45" s="24" t="str">
        <f>MatP8874C20Colour</f>
        <v>Not Specified</v>
      </c>
      <c r="B45" s="24" t="str">
        <f>IF(MatP8874C20Code=0,"",MatP8874C20Code)</f>
        <v/>
      </c>
      <c r="C45" s="24" t="str">
        <f>MatP8874C20Desc</f>
        <v>Underlay Support Tray (1.5m)</v>
      </c>
      <c r="D45" s="31">
        <v>5</v>
      </c>
      <c r="E45" s="32">
        <f>MatP8874C20Price</f>
        <v>1.5</v>
      </c>
      <c r="F45" s="33" t="str">
        <f>MatP8874C20PerText</f>
        <v>Each</v>
      </c>
      <c r="G45" s="32">
        <f t="shared" si="0"/>
        <v>7.5</v>
      </c>
    </row>
    <row r="46" spans="1:7" x14ac:dyDescent="0.2">
      <c r="A46" s="24" t="str">
        <f>MatP8872C539Colour</f>
        <v>Not Specified</v>
      </c>
      <c r="B46" s="24" t="str">
        <f>IF(MatP8872C539Code=0,"",MatP8872C539Code)</f>
        <v/>
      </c>
      <c r="C46" s="24" t="str">
        <f>MatP8872C539Desc</f>
        <v>Sidelock Tile Clips (TLE)</v>
      </c>
      <c r="D46" s="31">
        <v>94</v>
      </c>
      <c r="E46" s="32">
        <f>MatP8872C539Price</f>
        <v>7.0000000000000007E-2</v>
      </c>
      <c r="F46" s="33" t="str">
        <f>MatP8872C539PerText</f>
        <v>Each</v>
      </c>
      <c r="G46" s="32">
        <f t="shared" si="0"/>
        <v>6.580000000000001</v>
      </c>
    </row>
    <row r="47" spans="1:7" x14ac:dyDescent="0.2">
      <c r="A47" s="24" t="str">
        <f>MatP8826C539Colour</f>
        <v>Not Specified</v>
      </c>
      <c r="B47" s="24" t="str">
        <f>IF(MatP8826C539Code=0,"",MatP8826C539Code)</f>
        <v/>
      </c>
      <c r="C47" s="24" t="str">
        <f>MatP8826C539Desc</f>
        <v>Metal Batten End Clips</v>
      </c>
      <c r="D47" s="31">
        <v>52</v>
      </c>
      <c r="E47" s="32">
        <f>MatP8826C539Price</f>
        <v>0.28000000000000003</v>
      </c>
      <c r="F47" s="33" t="str">
        <f>MatP8826C539PerText</f>
        <v>Each</v>
      </c>
      <c r="G47" s="32">
        <f t="shared" si="0"/>
        <v>14.560000000000002</v>
      </c>
    </row>
    <row r="48" spans="1:7" x14ac:dyDescent="0.2">
      <c r="A48" s="24" t="str">
        <f>MatP8831C539Colour</f>
        <v>Not Specified</v>
      </c>
      <c r="B48" s="24" t="str">
        <f>IF(MatP8831C539Code=0,"",MatP8831C539Code)</f>
        <v/>
      </c>
      <c r="C48" s="24" t="str">
        <f>MatP8831C539Desc</f>
        <v>Eave Clip</v>
      </c>
      <c r="D48" s="31">
        <v>24</v>
      </c>
      <c r="E48" s="32">
        <f>MatP8831C539Price</f>
        <v>0.1</v>
      </c>
      <c r="F48" s="33" t="str">
        <f>MatP8831C539PerText</f>
        <v>Each</v>
      </c>
      <c r="G48" s="32">
        <f t="shared" si="0"/>
        <v>2.4000000000000004</v>
      </c>
    </row>
    <row r="49" spans="1:7" x14ac:dyDescent="0.2">
      <c r="A49" s="24" t="str">
        <f>MatP9318C0Colour</f>
        <v>Not Specified</v>
      </c>
      <c r="B49" s="24" t="str">
        <f>IF(MatP9318C0Code=0,"",MatP9318C0Code)</f>
        <v/>
      </c>
      <c r="C49" s="24" t="str">
        <f>MatP9318C0Desc</f>
        <v>45mm x 3.35mm Aluminium Nails</v>
      </c>
      <c r="D49" s="31">
        <v>0.99999997019767761</v>
      </c>
      <c r="E49" s="32">
        <f>MatP9318C0Price</f>
        <v>7.28</v>
      </c>
      <c r="F49" s="33" t="str">
        <f>MatP9318C0PerText</f>
        <v>Kg</v>
      </c>
      <c r="G49" s="32">
        <f t="shared" si="0"/>
        <v>7.2799997830390932</v>
      </c>
    </row>
    <row r="50" spans="1:7" x14ac:dyDescent="0.2">
      <c r="A50" s="24" t="str">
        <f>MatP9100C0Colour</f>
        <v>Not Specified</v>
      </c>
      <c r="B50" s="24" t="str">
        <f>IF(MatP9100C0Code=0,"",MatP9100C0Code)</f>
        <v/>
      </c>
      <c r="C50" s="24" t="str">
        <f>MatP9100C0Desc</f>
        <v>Batten Nails - 65mm x 3.35mm Galvanised</v>
      </c>
      <c r="D50" s="31">
        <v>1</v>
      </c>
      <c r="E50" s="32">
        <f>MatP9100C0Price</f>
        <v>4.5</v>
      </c>
      <c r="F50" s="33" t="str">
        <f>MatP9100C0PerText</f>
        <v>Kg</v>
      </c>
      <c r="G50" s="32">
        <f t="shared" si="0"/>
        <v>4.5</v>
      </c>
    </row>
    <row r="51" spans="1:7" x14ac:dyDescent="0.2">
      <c r="D51" s="31"/>
      <c r="E51" s="32"/>
      <c r="F51" s="33"/>
      <c r="G51" s="32"/>
    </row>
    <row r="52" spans="1:7" x14ac:dyDescent="0.2">
      <c r="F52" s="34" t="s">
        <v>5</v>
      </c>
      <c r="G52" s="35">
        <f>SUM(G35:G51)</f>
        <v>740.96999978303927</v>
      </c>
    </row>
    <row r="53" spans="1:7" x14ac:dyDescent="0.2">
      <c r="G53" s="34"/>
    </row>
    <row r="54" spans="1:7" x14ac:dyDescent="0.2">
      <c r="A54" s="25" t="s">
        <v>15</v>
      </c>
      <c r="B54" s="25"/>
      <c r="D54" s="25"/>
      <c r="E54" s="25"/>
      <c r="F54" s="25"/>
      <c r="G54" s="25"/>
    </row>
    <row r="56" spans="1:7" x14ac:dyDescent="0.2">
      <c r="A56" s="102" t="s">
        <v>6</v>
      </c>
      <c r="B56" s="102"/>
      <c r="C56" s="102"/>
      <c r="D56" s="34" t="s">
        <v>7</v>
      </c>
      <c r="E56" s="34" t="s">
        <v>9</v>
      </c>
      <c r="F56" s="34" t="s">
        <v>8</v>
      </c>
      <c r="G56" s="34" t="s">
        <v>16</v>
      </c>
    </row>
    <row r="57" spans="1:7" x14ac:dyDescent="0.2">
      <c r="A57" s="103" t="str">
        <f>LabP8815R6L1G1Desc</f>
        <v>Main Area</v>
      </c>
      <c r="B57" s="103"/>
      <c r="C57" s="103"/>
      <c r="D57" s="36">
        <f>LabP8815R6L1G1Rate</f>
        <v>9</v>
      </c>
      <c r="E57" s="37">
        <f>'Z-GSNG3.5-Garage'!Area</f>
        <v>29.12</v>
      </c>
      <c r="F57" s="27" t="str">
        <f xml:space="preserve"> "" &amp; LabP8815R6L1G1Per</f>
        <v>m²</v>
      </c>
      <c r="G57" s="36">
        <f>D57 * E57</f>
        <v>262.08</v>
      </c>
    </row>
    <row r="58" spans="1:7" x14ac:dyDescent="0.2">
      <c r="A58" s="24" t="str">
        <f>LabP8815R0L1G2Desc</f>
        <v>Eave</v>
      </c>
      <c r="D58" s="36">
        <f>LabP8815R0L1G2Rate</f>
        <v>2.5</v>
      </c>
      <c r="E58" s="37">
        <f>'Z-GSNG3.5-Garage'!Eave</f>
        <v>7</v>
      </c>
      <c r="F58" s="27" t="str">
        <f xml:space="preserve"> "" &amp; LabP8815R0L1G2Per</f>
        <v>m</v>
      </c>
      <c r="G58" s="36">
        <f>D58 * E58</f>
        <v>17.5</v>
      </c>
    </row>
    <row r="59" spans="1:7" x14ac:dyDescent="0.2">
      <c r="A59" s="24" t="str">
        <f>LabP8815R0L1G3Desc</f>
        <v>Verge</v>
      </c>
      <c r="D59" s="36">
        <f>LabP8815R0L1G3Rate</f>
        <v>2.5</v>
      </c>
      <c r="E59" s="37">
        <f>LeftVerge+RightVerge</f>
        <v>16.64</v>
      </c>
      <c r="F59" s="27" t="str">
        <f xml:space="preserve"> "" &amp; LabP8815R0L1G3Per</f>
        <v>m</v>
      </c>
      <c r="G59" s="36">
        <f>D59 * E59</f>
        <v>41.6</v>
      </c>
    </row>
    <row r="60" spans="1:7" x14ac:dyDescent="0.2">
      <c r="A60" s="24" t="str">
        <f>LabP8815R0L1G8Desc</f>
        <v>Duo Ridge</v>
      </c>
      <c r="D60" s="36">
        <f>LabP8815R0L1G8Rate</f>
        <v>2.5</v>
      </c>
      <c r="E60" s="37">
        <f>'Z-GSNG3.5-Garage'!DuoRidge</f>
        <v>3.5</v>
      </c>
      <c r="F60" s="27" t="str">
        <f xml:space="preserve"> "" &amp; LabP8815R0L1G8Per</f>
        <v>m</v>
      </c>
      <c r="G60" s="36">
        <f>D60 * E60</f>
        <v>8.75</v>
      </c>
    </row>
    <row r="61" spans="1:7" x14ac:dyDescent="0.2">
      <c r="D61" s="36"/>
      <c r="E61" s="37"/>
      <c r="F61" s="27"/>
      <c r="G61" s="36"/>
    </row>
    <row r="62" spans="1:7" x14ac:dyDescent="0.2">
      <c r="A62" s="103"/>
      <c r="B62" s="103"/>
      <c r="C62" s="103"/>
      <c r="D62" s="36"/>
      <c r="E62" s="37"/>
      <c r="G62" s="36"/>
    </row>
    <row r="63" spans="1:7" x14ac:dyDescent="0.2">
      <c r="F63" s="34" t="s">
        <v>5</v>
      </c>
      <c r="G63" s="35">
        <f>SUM(G57:G62)</f>
        <v>329.93</v>
      </c>
    </row>
    <row r="67" spans="1:3" x14ac:dyDescent="0.2">
      <c r="A67" s="34"/>
      <c r="B67" s="38"/>
    </row>
    <row r="69" spans="1:3" x14ac:dyDescent="0.2">
      <c r="A69" s="34"/>
      <c r="B69" s="38"/>
    </row>
    <row r="71" spans="1:3" x14ac:dyDescent="0.2">
      <c r="A71" s="34"/>
      <c r="B71" s="38"/>
    </row>
    <row r="73" spans="1:3" x14ac:dyDescent="0.2">
      <c r="A73" s="34"/>
      <c r="B73" s="38"/>
    </row>
    <row r="76" spans="1:3" x14ac:dyDescent="0.2">
      <c r="A76" s="34"/>
      <c r="B76" s="38"/>
      <c r="C76" s="39"/>
    </row>
    <row r="78" spans="1:3" x14ac:dyDescent="0.2">
      <c r="A78" s="34"/>
      <c r="B78" s="38"/>
    </row>
    <row r="80" spans="1:3" x14ac:dyDescent="0.2">
      <c r="A80" s="34"/>
      <c r="B80" s="38"/>
      <c r="C80" s="39"/>
    </row>
    <row r="82" spans="1:3" x14ac:dyDescent="0.2">
      <c r="A82" s="34"/>
      <c r="B82" s="38"/>
    </row>
    <row r="84" spans="1:3" x14ac:dyDescent="0.2">
      <c r="A84" s="34"/>
      <c r="B84" s="38"/>
    </row>
    <row r="87" spans="1:3" x14ac:dyDescent="0.2">
      <c r="A87" s="34"/>
      <c r="B87" s="38"/>
    </row>
    <row r="89" spans="1:3" x14ac:dyDescent="0.2">
      <c r="A89" s="34"/>
      <c r="B89" s="38"/>
    </row>
    <row r="91" spans="1:3" x14ac:dyDescent="0.2">
      <c r="A91" s="34"/>
      <c r="B91" s="38"/>
      <c r="C91" s="39"/>
    </row>
    <row r="94" spans="1:3" x14ac:dyDescent="0.2">
      <c r="A94" s="34"/>
      <c r="B94" s="40"/>
      <c r="C94" s="23"/>
    </row>
    <row r="97" spans="1:2" x14ac:dyDescent="0.2">
      <c r="A97" s="39"/>
      <c r="B97" s="41"/>
    </row>
  </sheetData>
  <mergeCells count="5">
    <mergeCell ref="B4:F4"/>
    <mergeCell ref="B5:F5"/>
    <mergeCell ref="A56:C56"/>
    <mergeCell ref="A57:C57"/>
    <mergeCell ref="A62:C62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FFD07-C3B6-41CD-ACC9-22B8E9282B0B}">
  <dimension ref="A1:G100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tr">
        <f>IF(ISBLANK(CustomerName),"",CustomerName)</f>
        <v>Example Customer</v>
      </c>
      <c r="C1" s="39"/>
      <c r="D1" s="39"/>
      <c r="E1" s="39"/>
      <c r="F1" s="39"/>
    </row>
    <row r="2" spans="1:7" x14ac:dyDescent="0.2">
      <c r="A2" s="23" t="s">
        <v>64</v>
      </c>
      <c r="B2" s="39" t="str">
        <f>IF(ISBLANK(SiteReference),"",SiteReference)</f>
        <v>Site Address Here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f>IF(ISBLANK(SiteName),"",SiteName)</f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239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227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55.74</v>
      </c>
      <c r="C9" s="23"/>
      <c r="D9" s="26"/>
    </row>
    <row r="10" spans="1:7" x14ac:dyDescent="0.2">
      <c r="A10" s="23" t="s">
        <v>114</v>
      </c>
      <c r="B10" s="24">
        <v>13.4</v>
      </c>
      <c r="C10" s="23"/>
      <c r="D10" s="26"/>
    </row>
    <row r="11" spans="1:7" x14ac:dyDescent="0.2">
      <c r="A11" s="23" t="s">
        <v>115</v>
      </c>
      <c r="B11" s="24">
        <v>8.32</v>
      </c>
      <c r="C11" s="23"/>
      <c r="D11" s="26"/>
    </row>
    <row r="12" spans="1:7" x14ac:dyDescent="0.2">
      <c r="A12" s="23" t="s">
        <v>116</v>
      </c>
      <c r="B12" s="24">
        <v>8.32</v>
      </c>
      <c r="C12" s="23"/>
      <c r="D12" s="26"/>
    </row>
    <row r="13" spans="1:7" x14ac:dyDescent="0.2">
      <c r="A13" s="23" t="s">
        <v>117</v>
      </c>
      <c r="B13" s="24">
        <v>6.7</v>
      </c>
      <c r="C13" s="23"/>
      <c r="D13" s="26"/>
    </row>
    <row r="14" spans="1:7" x14ac:dyDescent="0.2">
      <c r="A14" s="23" t="s">
        <v>118</v>
      </c>
      <c r="B14" s="24">
        <v>8.32</v>
      </c>
      <c r="C14" s="23"/>
      <c r="D14" s="26"/>
    </row>
    <row r="15" spans="1:7" x14ac:dyDescent="0.2">
      <c r="A15" s="23" t="s">
        <v>119</v>
      </c>
      <c r="B15" s="24">
        <v>600</v>
      </c>
      <c r="C15" s="23"/>
      <c r="D15" s="26"/>
    </row>
    <row r="16" spans="1:7" x14ac:dyDescent="0.2">
      <c r="A16" s="23" t="s">
        <v>120</v>
      </c>
      <c r="B16" s="24">
        <v>30</v>
      </c>
      <c r="C16" s="23"/>
      <c r="D16" s="26"/>
    </row>
    <row r="17" spans="1:7" x14ac:dyDescent="0.2">
      <c r="A17" s="23"/>
      <c r="C17" s="23"/>
      <c r="D17" s="26"/>
    </row>
    <row r="18" spans="1:7" x14ac:dyDescent="0.2">
      <c r="A18" s="23"/>
      <c r="B18" s="27"/>
      <c r="C18" s="23"/>
      <c r="D18" s="26"/>
    </row>
    <row r="19" spans="1:7" x14ac:dyDescent="0.2">
      <c r="A19" s="28" t="s">
        <v>10</v>
      </c>
      <c r="B19" s="28"/>
      <c r="C19" s="28"/>
      <c r="D19" s="28"/>
      <c r="E19" s="28"/>
      <c r="F19" s="28"/>
      <c r="G19" s="28"/>
    </row>
    <row r="20" spans="1:7" x14ac:dyDescent="0.2">
      <c r="A20" s="28"/>
      <c r="B20" s="28"/>
      <c r="C20" s="28"/>
      <c r="D20" s="28"/>
      <c r="E20" s="28"/>
      <c r="F20" s="28"/>
      <c r="G20" s="28"/>
    </row>
    <row r="21" spans="1:7" x14ac:dyDescent="0.2">
      <c r="A21" s="29" t="s">
        <v>121</v>
      </c>
      <c r="B21" s="24" t="s">
        <v>122</v>
      </c>
      <c r="C21" s="29"/>
      <c r="D21" s="29"/>
      <c r="E21" s="29"/>
      <c r="F21" s="29"/>
    </row>
    <row r="22" spans="1:7" x14ac:dyDescent="0.2">
      <c r="A22" s="29" t="s">
        <v>123</v>
      </c>
      <c r="B22" s="24" t="s">
        <v>124</v>
      </c>
      <c r="C22" s="29"/>
      <c r="D22" s="29"/>
      <c r="E22" s="29"/>
      <c r="F22" s="29"/>
    </row>
    <row r="23" spans="1:7" x14ac:dyDescent="0.2">
      <c r="A23" s="29"/>
      <c r="B23" s="24" t="s">
        <v>125</v>
      </c>
      <c r="C23" s="29"/>
      <c r="D23" s="29"/>
      <c r="E23" s="29"/>
      <c r="F23" s="29"/>
    </row>
    <row r="24" spans="1:7" x14ac:dyDescent="0.2">
      <c r="A24" s="29" t="s">
        <v>126</v>
      </c>
      <c r="B24" s="24" t="s">
        <v>127</v>
      </c>
      <c r="C24" s="29"/>
      <c r="D24" s="29"/>
      <c r="E24" s="29"/>
      <c r="F24" s="29"/>
    </row>
    <row r="25" spans="1:7" x14ac:dyDescent="0.2">
      <c r="A25" s="29"/>
      <c r="B25" s="24" t="s">
        <v>67</v>
      </c>
      <c r="C25" s="29"/>
      <c r="D25" s="29"/>
      <c r="E25" s="29"/>
      <c r="F25" s="29"/>
    </row>
    <row r="26" spans="1:7" x14ac:dyDescent="0.2">
      <c r="A26" s="29" t="s">
        <v>129</v>
      </c>
      <c r="B26" s="24" t="s">
        <v>130</v>
      </c>
      <c r="C26" s="29"/>
      <c r="D26" s="29"/>
      <c r="E26" s="29"/>
      <c r="F26" s="29"/>
    </row>
    <row r="27" spans="1:7" x14ac:dyDescent="0.2">
      <c r="A27" s="29"/>
      <c r="B27" s="24" t="s">
        <v>150</v>
      </c>
      <c r="C27" s="29"/>
      <c r="D27" s="29"/>
      <c r="E27" s="29"/>
      <c r="F27" s="29"/>
    </row>
    <row r="28" spans="1:7" x14ac:dyDescent="0.2">
      <c r="A28" s="29" t="s">
        <v>132</v>
      </c>
      <c r="B28" s="24" t="s">
        <v>133</v>
      </c>
      <c r="C28" s="29"/>
      <c r="D28" s="29"/>
      <c r="E28" s="29"/>
      <c r="F28" s="29"/>
    </row>
    <row r="29" spans="1:7" x14ac:dyDescent="0.2">
      <c r="A29" s="29" t="s">
        <v>134</v>
      </c>
      <c r="B29" s="24" t="s">
        <v>135</v>
      </c>
      <c r="C29" s="29"/>
      <c r="D29" s="29"/>
      <c r="E29" s="29"/>
      <c r="F29" s="29"/>
    </row>
    <row r="30" spans="1:7" x14ac:dyDescent="0.2">
      <c r="A30" s="29" t="s">
        <v>136</v>
      </c>
      <c r="B30" s="24" t="s">
        <v>137</v>
      </c>
      <c r="C30" s="29"/>
      <c r="D30" s="29"/>
      <c r="E30" s="29"/>
      <c r="F30" s="29"/>
    </row>
    <row r="31" spans="1:7" x14ac:dyDescent="0.2">
      <c r="A31" s="29"/>
      <c r="C31" s="29"/>
      <c r="D31" s="29"/>
      <c r="E31" s="29"/>
      <c r="F31" s="29"/>
    </row>
    <row r="32" spans="1:7" x14ac:dyDescent="0.2">
      <c r="A32" s="29"/>
      <c r="C32" s="29"/>
      <c r="D32" s="29"/>
      <c r="E32" s="29"/>
      <c r="F32" s="29"/>
    </row>
    <row r="33" spans="1:7" x14ac:dyDescent="0.2">
      <c r="A33" s="25" t="s">
        <v>14</v>
      </c>
      <c r="B33" s="25"/>
      <c r="C33" s="25"/>
      <c r="D33" s="25"/>
      <c r="E33" s="25"/>
      <c r="F33" s="25"/>
      <c r="G33" s="25"/>
    </row>
    <row r="35" spans="1:7" s="29" customFormat="1" x14ac:dyDescent="0.2">
      <c r="A35" s="29" t="s">
        <v>25</v>
      </c>
      <c r="B35" s="29" t="s">
        <v>38</v>
      </c>
      <c r="C35" s="29" t="s">
        <v>2</v>
      </c>
      <c r="D35" s="30" t="s">
        <v>9</v>
      </c>
      <c r="E35" s="30" t="s">
        <v>3</v>
      </c>
      <c r="F35" s="30" t="s">
        <v>4</v>
      </c>
      <c r="G35" s="30" t="s">
        <v>16</v>
      </c>
    </row>
    <row r="36" spans="1:7" x14ac:dyDescent="0.2">
      <c r="A36" s="24" t="str">
        <f>MatP8815C0Colour</f>
        <v>Not Specified</v>
      </c>
      <c r="B36" s="24" t="str">
        <f>IF(MatP8815C0Code=0,"",MatP8815C0Code)</f>
        <v/>
      </c>
      <c r="C36" s="24" t="str">
        <f>MatP8815C0Desc</f>
        <v>TLE Tile</v>
      </c>
      <c r="D36" s="31">
        <v>569</v>
      </c>
      <c r="E36" s="32">
        <f>MatP8815C0Price</f>
        <v>1.2</v>
      </c>
      <c r="F36" s="33" t="str">
        <f>MatP8815C0PerText</f>
        <v>Each</v>
      </c>
      <c r="G36" s="32">
        <f t="shared" ref="G36:G52" si="0">D36 * E36</f>
        <v>682.8</v>
      </c>
    </row>
    <row r="37" spans="1:7" x14ac:dyDescent="0.2">
      <c r="A37" s="24" t="str">
        <f>MatP8870C0Colour</f>
        <v>Not Specified</v>
      </c>
      <c r="B37" s="24" t="str">
        <f>IF(MatP8870C0Code=0,"",MatP8870C0Code)</f>
        <v/>
      </c>
      <c r="C37" s="24" t="str">
        <f>MatP8870C0Desc</f>
        <v>Ridge Tile (450mm)</v>
      </c>
      <c r="D37" s="31">
        <v>15</v>
      </c>
      <c r="E37" s="32">
        <f>MatP8870C0Price</f>
        <v>3.64</v>
      </c>
      <c r="F37" s="33" t="str">
        <f>MatP8870C0PerText</f>
        <v>Each</v>
      </c>
      <c r="G37" s="32">
        <f t="shared" si="0"/>
        <v>54.6</v>
      </c>
    </row>
    <row r="38" spans="1:7" x14ac:dyDescent="0.2">
      <c r="A38" s="24" t="str">
        <f>MatP10135C0Colour</f>
        <v>Not Specified</v>
      </c>
      <c r="B38" s="24" t="str">
        <f>IF(MatP10135C0Code=0,"",MatP10135C0Code)</f>
        <v/>
      </c>
      <c r="C38" s="24" t="str">
        <f>MatP10135C0Desc</f>
        <v>VP300 Vapour Permeable Underlay (50m x 1m)</v>
      </c>
      <c r="D38" s="31">
        <v>2</v>
      </c>
      <c r="E38" s="32">
        <f>MatP10135C0Price</f>
        <v>35</v>
      </c>
      <c r="F38" s="33" t="str">
        <f>MatP10135C0PerText</f>
        <v>Roll</v>
      </c>
      <c r="G38" s="32">
        <f t="shared" si="0"/>
        <v>70</v>
      </c>
    </row>
    <row r="39" spans="1:7" x14ac:dyDescent="0.2">
      <c r="A39" s="24" t="str">
        <f>MatP9008C0Colour</f>
        <v>Not Specified</v>
      </c>
      <c r="B39" s="24" t="str">
        <f>IF(MatP9008C0Code=0,"",MatP9008C0Code)</f>
        <v/>
      </c>
      <c r="C39" s="24" t="str">
        <f>MatP9008C0Desc</f>
        <v>Battens (50mm x 25mm)</v>
      </c>
      <c r="D39" s="31">
        <v>192</v>
      </c>
      <c r="E39" s="32">
        <f>MatP9008C0Price</f>
        <v>0.9</v>
      </c>
      <c r="F39" s="33" t="str">
        <f>MatP9008C0PerText</f>
        <v>Metre</v>
      </c>
      <c r="G39" s="32">
        <f t="shared" si="0"/>
        <v>172.8</v>
      </c>
    </row>
    <row r="40" spans="1:7" x14ac:dyDescent="0.2">
      <c r="A40" s="24" t="str">
        <f>MatP8879C15Colour</f>
        <v>Not Specified</v>
      </c>
      <c r="B40" s="24" t="str">
        <f>IF(MatP8879C15Code=0,"",MatP8879C15Code)</f>
        <v/>
      </c>
      <c r="C40" s="24" t="str">
        <f>MatP8879C15Desc</f>
        <v>Universal Dry Ridge/Hip System (6m)</v>
      </c>
      <c r="D40" s="31">
        <v>2</v>
      </c>
      <c r="E40" s="32">
        <f>MatP8879C15Price</f>
        <v>28.09</v>
      </c>
      <c r="F40" s="33" t="str">
        <f>MatP8879C15PerText</f>
        <v>Pack</v>
      </c>
      <c r="G40" s="32">
        <f t="shared" si="0"/>
        <v>56.18</v>
      </c>
    </row>
    <row r="41" spans="1:7" x14ac:dyDescent="0.2">
      <c r="A41" s="24" t="str">
        <f>MatP8857C0Colour</f>
        <v>Not Specified</v>
      </c>
      <c r="B41" s="24" t="str">
        <f>IF(MatP8857C0Code=0,"",MatP8857C0Code)</f>
        <v/>
      </c>
      <c r="C41" s="24" t="str">
        <f>MatP8857C0Desc</f>
        <v>LH Uni-Fix Dry Verge Unit</v>
      </c>
      <c r="D41" s="31">
        <v>52</v>
      </c>
      <c r="E41" s="32">
        <f>MatP8857C0Price</f>
        <v>1.1000000000000001</v>
      </c>
      <c r="F41" s="33" t="str">
        <f>MatP8857C0PerText</f>
        <v>Each</v>
      </c>
      <c r="G41" s="32">
        <f t="shared" si="0"/>
        <v>57.2</v>
      </c>
    </row>
    <row r="42" spans="1:7" x14ac:dyDescent="0.2">
      <c r="A42" s="24" t="str">
        <f>MatP8869C0Colour</f>
        <v>Not Specified</v>
      </c>
      <c r="B42" s="24" t="str">
        <f>IF(MatP8869C0Code=0,"",MatP8869C0Code)</f>
        <v/>
      </c>
      <c r="C42" s="24" t="str">
        <f>MatP8869C0Desc</f>
        <v>RH Uni-Fix Dry Verge Unit</v>
      </c>
      <c r="D42" s="31">
        <v>52</v>
      </c>
      <c r="E42" s="32">
        <f>MatP8869C0Price</f>
        <v>1.1000000000000001</v>
      </c>
      <c r="F42" s="33" t="str">
        <f>MatP8869C0PerText</f>
        <v>Each</v>
      </c>
      <c r="G42" s="32">
        <f t="shared" si="0"/>
        <v>57.2</v>
      </c>
    </row>
    <row r="43" spans="1:7" x14ac:dyDescent="0.2">
      <c r="A43" s="24" t="str">
        <f>MatP8877C0Colour</f>
        <v>Not Specified</v>
      </c>
      <c r="B43" s="24" t="str">
        <f>IF(MatP8877C0Code=0,"",MatP8877C0Code)</f>
        <v/>
      </c>
      <c r="C43" s="24" t="str">
        <f>MatP8877C0Desc</f>
        <v>Uni-Fix Universal Ridge End Cap</v>
      </c>
      <c r="D43" s="31">
        <v>2</v>
      </c>
      <c r="E43" s="32">
        <f>MatP8877C0Price</f>
        <v>1.6</v>
      </c>
      <c r="F43" s="33" t="str">
        <f>MatP8877C0PerText</f>
        <v>Each</v>
      </c>
      <c r="G43" s="32">
        <f t="shared" si="0"/>
        <v>3.2</v>
      </c>
    </row>
    <row r="44" spans="1:7" x14ac:dyDescent="0.2">
      <c r="A44" s="24" t="str">
        <f>MatP8830C20Colour</f>
        <v>Not Specified</v>
      </c>
      <c r="B44" s="24" t="str">
        <f>IF(MatP8830C20Code=0,"",MatP8830C20Code)</f>
        <v/>
      </c>
      <c r="C44" s="24" t="str">
        <f>MatP8830C20Desc</f>
        <v>Dry Verge Starter Unit</v>
      </c>
      <c r="D44" s="31">
        <v>4</v>
      </c>
      <c r="E44" s="32">
        <f>MatP8830C20Price</f>
        <v>1.51</v>
      </c>
      <c r="F44" s="33" t="str">
        <f>MatP8830C20PerText</f>
        <v>Each</v>
      </c>
      <c r="G44" s="32">
        <f t="shared" si="0"/>
        <v>6.04</v>
      </c>
    </row>
    <row r="45" spans="1:7" x14ac:dyDescent="0.2">
      <c r="A45" s="24" t="str">
        <f>MatP8281C0Colour</f>
        <v>Not Specified</v>
      </c>
      <c r="B45" s="24" t="str">
        <f>IF(MatP8281C0Code=0,"",MatP8281C0Code)</f>
        <v/>
      </c>
      <c r="C45" s="24" t="str">
        <f>MatP8281C0Desc</f>
        <v>Generic Eave Insulation (1m)</v>
      </c>
      <c r="D45" s="31">
        <v>14</v>
      </c>
      <c r="E45" s="32">
        <f>MatP8281C0Price</f>
        <v>5</v>
      </c>
      <c r="F45" s="33" t="str">
        <f>MatP8281C0PerText</f>
        <v>Each</v>
      </c>
      <c r="G45" s="32">
        <f t="shared" si="0"/>
        <v>70</v>
      </c>
    </row>
    <row r="46" spans="1:7" x14ac:dyDescent="0.2">
      <c r="A46" s="24" t="str">
        <f>MatP8624C0Colour</f>
        <v>Not Specified</v>
      </c>
      <c r="B46" s="24" t="str">
        <f>IF(MatP8624C0Code=0,"",MatP8624C0Code)</f>
        <v/>
      </c>
      <c r="C46" s="24" t="str">
        <f>MatP8624C0Desc</f>
        <v>Generic Party Wall Insulation (1m)</v>
      </c>
      <c r="D46" s="31">
        <v>9</v>
      </c>
      <c r="E46" s="32">
        <f>MatP8624C0Price</f>
        <v>5</v>
      </c>
      <c r="F46" s="33" t="str">
        <f>MatP8624C0PerText</f>
        <v>Each</v>
      </c>
      <c r="G46" s="32">
        <f t="shared" si="0"/>
        <v>45</v>
      </c>
    </row>
    <row r="47" spans="1:7" x14ac:dyDescent="0.2">
      <c r="A47" s="24" t="str">
        <f>MatP8874C20Colour</f>
        <v>Not Specified</v>
      </c>
      <c r="B47" s="24" t="str">
        <f>IF(MatP8874C20Code=0,"",MatP8874C20Code)</f>
        <v/>
      </c>
      <c r="C47" s="24" t="str">
        <f>MatP8874C20Desc</f>
        <v>Underlay Support Tray (1.5m)</v>
      </c>
      <c r="D47" s="31">
        <v>9</v>
      </c>
      <c r="E47" s="32">
        <f>MatP8874C20Price</f>
        <v>1.5</v>
      </c>
      <c r="F47" s="33" t="str">
        <f>MatP8874C20PerText</f>
        <v>Each</v>
      </c>
      <c r="G47" s="32">
        <f t="shared" si="0"/>
        <v>13.5</v>
      </c>
    </row>
    <row r="48" spans="1:7" x14ac:dyDescent="0.2">
      <c r="A48" s="24" t="str">
        <f>MatP8872C539Colour</f>
        <v>Not Specified</v>
      </c>
      <c r="B48" s="24" t="str">
        <f>IF(MatP8872C539Code=0,"",MatP8872C539Code)</f>
        <v/>
      </c>
      <c r="C48" s="24" t="str">
        <f>MatP8872C539Desc</f>
        <v>Sidelock Tile Clips (TLE)</v>
      </c>
      <c r="D48" s="31">
        <v>204</v>
      </c>
      <c r="E48" s="32">
        <f>MatP8872C539Price</f>
        <v>7.0000000000000007E-2</v>
      </c>
      <c r="F48" s="33" t="str">
        <f>MatP8872C539PerText</f>
        <v>Each</v>
      </c>
      <c r="G48" s="32">
        <f t="shared" si="0"/>
        <v>14.280000000000001</v>
      </c>
    </row>
    <row r="49" spans="1:7" x14ac:dyDescent="0.2">
      <c r="A49" s="24" t="str">
        <f>MatP8826C539Colour</f>
        <v>Not Specified</v>
      </c>
      <c r="B49" s="24" t="str">
        <f>IF(MatP8826C539Code=0,"",MatP8826C539Code)</f>
        <v/>
      </c>
      <c r="C49" s="24" t="str">
        <f>MatP8826C539Desc</f>
        <v>Metal Batten End Clips</v>
      </c>
      <c r="D49" s="31">
        <v>52</v>
      </c>
      <c r="E49" s="32">
        <f>MatP8826C539Price</f>
        <v>0.28000000000000003</v>
      </c>
      <c r="F49" s="33" t="str">
        <f>MatP8826C539PerText</f>
        <v>Each</v>
      </c>
      <c r="G49" s="32">
        <f t="shared" si="0"/>
        <v>14.560000000000002</v>
      </c>
    </row>
    <row r="50" spans="1:7" x14ac:dyDescent="0.2">
      <c r="A50" s="24" t="str">
        <f>MatP8831C539Colour</f>
        <v>Not Specified</v>
      </c>
      <c r="B50" s="24" t="str">
        <f>IF(MatP8831C539Code=0,"",MatP8831C539Code)</f>
        <v/>
      </c>
      <c r="C50" s="24" t="str">
        <f>MatP8831C539Desc</f>
        <v>Eave Clip</v>
      </c>
      <c r="D50" s="31">
        <v>46</v>
      </c>
      <c r="E50" s="32">
        <f>MatP8831C539Price</f>
        <v>0.1</v>
      </c>
      <c r="F50" s="33" t="str">
        <f>MatP8831C539PerText</f>
        <v>Each</v>
      </c>
      <c r="G50" s="32">
        <f t="shared" si="0"/>
        <v>4.6000000000000005</v>
      </c>
    </row>
    <row r="51" spans="1:7" x14ac:dyDescent="0.2">
      <c r="A51" s="24" t="str">
        <f>MatP9318C0Colour</f>
        <v>Not Specified</v>
      </c>
      <c r="B51" s="24" t="str">
        <f>IF(MatP9318C0Code=0,"",MatP9318C0Code)</f>
        <v/>
      </c>
      <c r="C51" s="24" t="str">
        <f>MatP9318C0Desc</f>
        <v>45mm x 3.35mm Aluminium Nails</v>
      </c>
      <c r="D51" s="31">
        <v>2</v>
      </c>
      <c r="E51" s="32">
        <f>MatP9318C0Price</f>
        <v>7.28</v>
      </c>
      <c r="F51" s="33" t="str">
        <f>MatP9318C0PerText</f>
        <v>Kg</v>
      </c>
      <c r="G51" s="32">
        <f t="shared" si="0"/>
        <v>14.56</v>
      </c>
    </row>
    <row r="52" spans="1:7" x14ac:dyDescent="0.2">
      <c r="A52" s="24" t="str">
        <f>MatP9100C0Colour</f>
        <v>Not Specified</v>
      </c>
      <c r="B52" s="24" t="str">
        <f>IF(MatP9100C0Code=0,"",MatP9100C0Code)</f>
        <v/>
      </c>
      <c r="C52" s="24" t="str">
        <f>MatP9100C0Desc</f>
        <v>Batten Nails - 65mm x 3.35mm Galvanised</v>
      </c>
      <c r="D52" s="31">
        <v>2</v>
      </c>
      <c r="E52" s="32">
        <f>MatP9100C0Price</f>
        <v>4.5</v>
      </c>
      <c r="F52" s="33" t="str">
        <f>MatP9100C0PerText</f>
        <v>Kg</v>
      </c>
      <c r="G52" s="32">
        <f t="shared" si="0"/>
        <v>9</v>
      </c>
    </row>
    <row r="53" spans="1:7" x14ac:dyDescent="0.2">
      <c r="D53" s="31"/>
      <c r="E53" s="32"/>
      <c r="F53" s="33"/>
      <c r="G53" s="32"/>
    </row>
    <row r="54" spans="1:7" x14ac:dyDescent="0.2">
      <c r="F54" s="34" t="s">
        <v>5</v>
      </c>
      <c r="G54" s="35">
        <f>SUM(G36:G53)</f>
        <v>1345.52</v>
      </c>
    </row>
    <row r="55" spans="1:7" x14ac:dyDescent="0.2">
      <c r="G55" s="34"/>
    </row>
    <row r="56" spans="1:7" x14ac:dyDescent="0.2">
      <c r="A56" s="25" t="s">
        <v>15</v>
      </c>
      <c r="B56" s="25"/>
      <c r="D56" s="25"/>
      <c r="E56" s="25"/>
      <c r="F56" s="25"/>
      <c r="G56" s="25"/>
    </row>
    <row r="58" spans="1:7" x14ac:dyDescent="0.2">
      <c r="A58" s="102" t="s">
        <v>6</v>
      </c>
      <c r="B58" s="102"/>
      <c r="C58" s="102"/>
      <c r="D58" s="34" t="s">
        <v>7</v>
      </c>
      <c r="E58" s="34" t="s">
        <v>9</v>
      </c>
      <c r="F58" s="34" t="s">
        <v>8</v>
      </c>
      <c r="G58" s="34" t="s">
        <v>16</v>
      </c>
    </row>
    <row r="59" spans="1:7" x14ac:dyDescent="0.2">
      <c r="A59" s="103" t="str">
        <f>LabP8815R6L1G1Desc</f>
        <v>Main Area</v>
      </c>
      <c r="B59" s="103"/>
      <c r="C59" s="103"/>
      <c r="D59" s="36">
        <f>LabP8815R6L1G1Rate</f>
        <v>9</v>
      </c>
      <c r="E59" s="37">
        <f>'Z-GTWN6.7-Garage'!Area</f>
        <v>55.74</v>
      </c>
      <c r="F59" s="27" t="str">
        <f xml:space="preserve"> "" &amp; LabP8815R6L1G1Per</f>
        <v>m²</v>
      </c>
      <c r="G59" s="36">
        <f>D59 * E59</f>
        <v>501.66</v>
      </c>
    </row>
    <row r="60" spans="1:7" x14ac:dyDescent="0.2">
      <c r="A60" s="24" t="str">
        <f>LabP8815R0L1G2Desc</f>
        <v>Eave</v>
      </c>
      <c r="D60" s="36">
        <f>LabP8815R0L1G2Rate</f>
        <v>2.5</v>
      </c>
      <c r="E60" s="37">
        <f>'Z-GTWN6.7-Garage'!Eave</f>
        <v>13.4</v>
      </c>
      <c r="F60" s="27" t="str">
        <f xml:space="preserve"> "" &amp; LabP8815R0L1G2Per</f>
        <v>m</v>
      </c>
      <c r="G60" s="36">
        <f>D60 * E60</f>
        <v>33.5</v>
      </c>
    </row>
    <row r="61" spans="1:7" x14ac:dyDescent="0.2">
      <c r="A61" s="24" t="str">
        <f>LabP8815R0L1G3Desc</f>
        <v>Verge</v>
      </c>
      <c r="D61" s="36">
        <f>LabP8815R0L1G3Rate</f>
        <v>2.5</v>
      </c>
      <c r="E61" s="37">
        <f>LeftVerge+RightVerge</f>
        <v>16.64</v>
      </c>
      <c r="F61" s="27" t="str">
        <f xml:space="preserve"> "" &amp; LabP8815R0L1G3Per</f>
        <v>m</v>
      </c>
      <c r="G61" s="36">
        <f>D61 * E61</f>
        <v>41.6</v>
      </c>
    </row>
    <row r="62" spans="1:7" x14ac:dyDescent="0.2">
      <c r="A62" s="24" t="str">
        <f>LabP8815R0L1G8Desc</f>
        <v>Duo Ridge</v>
      </c>
      <c r="D62" s="36">
        <f>LabP8815R0L1G8Rate</f>
        <v>2.5</v>
      </c>
      <c r="E62" s="37">
        <f>'Z-GTWN6.7-Garage'!DuoRidge</f>
        <v>6.7</v>
      </c>
      <c r="F62" s="27" t="str">
        <f xml:space="preserve"> "" &amp; LabP8815R0L1G8Per</f>
        <v>m</v>
      </c>
      <c r="G62" s="36">
        <f>D62 * E62</f>
        <v>16.75</v>
      </c>
    </row>
    <row r="63" spans="1:7" x14ac:dyDescent="0.2">
      <c r="A63" s="24" t="str">
        <f>LabP8815R0L1G241Desc</f>
        <v>Party Wall Insulation</v>
      </c>
      <c r="D63" s="36">
        <f>LabP8815R0L1G241Rate</f>
        <v>1.5</v>
      </c>
      <c r="E63" s="37">
        <v>8.32</v>
      </c>
      <c r="F63" s="27" t="str">
        <f xml:space="preserve"> "" &amp; LabP8815R0L1G241Per</f>
        <v>m</v>
      </c>
      <c r="G63" s="36">
        <f>D63 * E63</f>
        <v>12.48</v>
      </c>
    </row>
    <row r="64" spans="1:7" x14ac:dyDescent="0.2">
      <c r="D64" s="36"/>
      <c r="E64" s="37"/>
      <c r="F64" s="27"/>
      <c r="G64" s="36"/>
    </row>
    <row r="65" spans="1:7" x14ac:dyDescent="0.2">
      <c r="A65" s="103"/>
      <c r="B65" s="103"/>
      <c r="C65" s="103"/>
      <c r="D65" s="36"/>
      <c r="E65" s="37"/>
      <c r="G65" s="36"/>
    </row>
    <row r="66" spans="1:7" x14ac:dyDescent="0.2">
      <c r="F66" s="34" t="s">
        <v>5</v>
      </c>
      <c r="G66" s="35">
        <f>SUM(G59:G65)</f>
        <v>605.99000000000012</v>
      </c>
    </row>
    <row r="70" spans="1:7" x14ac:dyDescent="0.2">
      <c r="A70" s="34"/>
      <c r="B70" s="38"/>
    </row>
    <row r="72" spans="1:7" x14ac:dyDescent="0.2">
      <c r="A72" s="34"/>
      <c r="B72" s="38"/>
    </row>
    <row r="74" spans="1:7" x14ac:dyDescent="0.2">
      <c r="A74" s="34"/>
      <c r="B74" s="38"/>
    </row>
    <row r="76" spans="1:7" x14ac:dyDescent="0.2">
      <c r="A76" s="34"/>
      <c r="B76" s="38"/>
    </row>
    <row r="79" spans="1:7" x14ac:dyDescent="0.2">
      <c r="A79" s="34"/>
      <c r="B79" s="38"/>
      <c r="C79" s="39"/>
    </row>
    <row r="81" spans="1:3" x14ac:dyDescent="0.2">
      <c r="A81" s="34"/>
      <c r="B81" s="38"/>
    </row>
    <row r="83" spans="1:3" x14ac:dyDescent="0.2">
      <c r="A83" s="34"/>
      <c r="B83" s="38"/>
      <c r="C83" s="39"/>
    </row>
    <row r="85" spans="1:3" x14ac:dyDescent="0.2">
      <c r="A85" s="34"/>
      <c r="B85" s="38"/>
    </row>
    <row r="87" spans="1:3" x14ac:dyDescent="0.2">
      <c r="A87" s="34"/>
      <c r="B87" s="38"/>
    </row>
    <row r="90" spans="1:3" x14ac:dyDescent="0.2">
      <c r="A90" s="34"/>
      <c r="B90" s="38"/>
    </row>
    <row r="92" spans="1:3" x14ac:dyDescent="0.2">
      <c r="A92" s="34"/>
      <c r="B92" s="38"/>
    </row>
    <row r="94" spans="1:3" x14ac:dyDescent="0.2">
      <c r="A94" s="34"/>
      <c r="B94" s="38"/>
      <c r="C94" s="39"/>
    </row>
    <row r="97" spans="1:3" x14ac:dyDescent="0.2">
      <c r="A97" s="34"/>
      <c r="B97" s="40"/>
      <c r="C97" s="23"/>
    </row>
    <row r="100" spans="1:3" x14ac:dyDescent="0.2">
      <c r="A100" s="39"/>
      <c r="B100" s="41"/>
    </row>
  </sheetData>
  <mergeCells count="5">
    <mergeCell ref="B4:F4"/>
    <mergeCell ref="B5:F5"/>
    <mergeCell ref="A58:C58"/>
    <mergeCell ref="A59:C59"/>
    <mergeCell ref="A65:C65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8C820-7E21-455E-8E73-03A78AE8324C}">
  <dimension ref="A1:G93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299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241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227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59.9</v>
      </c>
      <c r="C9" s="23"/>
      <c r="D9" s="26"/>
    </row>
    <row r="10" spans="1:7" x14ac:dyDescent="0.2">
      <c r="A10" s="23" t="s">
        <v>114</v>
      </c>
      <c r="B10" s="24">
        <v>28.8</v>
      </c>
      <c r="C10" s="23"/>
      <c r="D10" s="26"/>
    </row>
    <row r="11" spans="1:7" x14ac:dyDescent="0.2">
      <c r="A11" s="23" t="s">
        <v>229</v>
      </c>
      <c r="B11" s="24">
        <v>22</v>
      </c>
      <c r="C11" s="23"/>
      <c r="D11" s="26"/>
    </row>
    <row r="12" spans="1:7" x14ac:dyDescent="0.2">
      <c r="A12" s="23" t="s">
        <v>118</v>
      </c>
      <c r="B12" s="24">
        <v>8.32</v>
      </c>
      <c r="C12" s="23"/>
      <c r="D12" s="26"/>
    </row>
    <row r="13" spans="1:7" x14ac:dyDescent="0.2">
      <c r="A13" s="23" t="s">
        <v>119</v>
      </c>
      <c r="B13" s="24">
        <v>600</v>
      </c>
      <c r="C13" s="23"/>
      <c r="D13" s="26"/>
    </row>
    <row r="14" spans="1:7" x14ac:dyDescent="0.2">
      <c r="A14" s="23" t="s">
        <v>120</v>
      </c>
      <c r="B14" s="24">
        <v>30</v>
      </c>
      <c r="C14" s="23"/>
      <c r="D14" s="26"/>
    </row>
    <row r="15" spans="1:7" x14ac:dyDescent="0.2">
      <c r="A15" s="23"/>
      <c r="C15" s="23"/>
      <c r="D15" s="26"/>
    </row>
    <row r="16" spans="1:7" x14ac:dyDescent="0.2">
      <c r="A16" s="23"/>
      <c r="B16" s="27"/>
      <c r="C16" s="23"/>
      <c r="D16" s="26"/>
    </row>
    <row r="17" spans="1:7" x14ac:dyDescent="0.2">
      <c r="A17" s="28" t="s">
        <v>10</v>
      </c>
      <c r="B17" s="28"/>
      <c r="C17" s="28"/>
      <c r="D17" s="28"/>
      <c r="E17" s="28"/>
      <c r="F17" s="28"/>
      <c r="G17" s="28"/>
    </row>
    <row r="18" spans="1:7" x14ac:dyDescent="0.2">
      <c r="A18" s="28"/>
      <c r="B18" s="28"/>
      <c r="C18" s="28"/>
      <c r="D18" s="28"/>
      <c r="E18" s="28"/>
      <c r="F18" s="28"/>
      <c r="G18" s="28"/>
    </row>
    <row r="19" spans="1:7" x14ac:dyDescent="0.2">
      <c r="A19" s="29" t="s">
        <v>121</v>
      </c>
      <c r="B19" s="24" t="s">
        <v>122</v>
      </c>
      <c r="C19" s="29"/>
      <c r="D19" s="29"/>
      <c r="E19" s="29"/>
      <c r="F19" s="29"/>
    </row>
    <row r="20" spans="1:7" x14ac:dyDescent="0.2">
      <c r="A20" s="29" t="s">
        <v>123</v>
      </c>
      <c r="B20" s="24" t="s">
        <v>124</v>
      </c>
      <c r="C20" s="29"/>
      <c r="D20" s="29"/>
      <c r="E20" s="29"/>
      <c r="F20" s="29"/>
    </row>
    <row r="21" spans="1:7" x14ac:dyDescent="0.2">
      <c r="A21" s="29"/>
      <c r="B21" s="24" t="s">
        <v>125</v>
      </c>
      <c r="C21" s="29"/>
      <c r="D21" s="29"/>
      <c r="E21" s="29"/>
      <c r="F21" s="29"/>
    </row>
    <row r="22" spans="1:7" x14ac:dyDescent="0.2">
      <c r="A22" s="29" t="s">
        <v>126</v>
      </c>
      <c r="B22" s="24" t="s">
        <v>127</v>
      </c>
      <c r="C22" s="29"/>
      <c r="D22" s="29"/>
      <c r="E22" s="29"/>
      <c r="F22" s="29"/>
    </row>
    <row r="23" spans="1:7" x14ac:dyDescent="0.2">
      <c r="A23" s="29"/>
      <c r="B23" s="24" t="s">
        <v>67</v>
      </c>
      <c r="C23" s="29"/>
      <c r="D23" s="29"/>
      <c r="E23" s="29"/>
      <c r="F23" s="29"/>
    </row>
    <row r="24" spans="1:7" x14ac:dyDescent="0.2">
      <c r="A24" s="29" t="s">
        <v>231</v>
      </c>
      <c r="B24" s="24" t="s">
        <v>232</v>
      </c>
      <c r="C24" s="29"/>
      <c r="D24" s="29"/>
      <c r="E24" s="29"/>
      <c r="F24" s="29"/>
    </row>
    <row r="25" spans="1:7" x14ac:dyDescent="0.2">
      <c r="A25" s="29" t="s">
        <v>134</v>
      </c>
      <c r="B25" s="24" t="s">
        <v>135</v>
      </c>
      <c r="C25" s="29"/>
      <c r="D25" s="29"/>
      <c r="E25" s="29"/>
      <c r="F25" s="29"/>
    </row>
    <row r="26" spans="1:7" x14ac:dyDescent="0.2">
      <c r="A26" s="29" t="s">
        <v>136</v>
      </c>
      <c r="B26" s="24" t="s">
        <v>137</v>
      </c>
      <c r="C26" s="29"/>
      <c r="D26" s="29"/>
      <c r="E26" s="29"/>
      <c r="F26" s="29"/>
    </row>
    <row r="27" spans="1:7" x14ac:dyDescent="0.2">
      <c r="A27" s="29"/>
      <c r="B27" s="24" t="s">
        <v>230</v>
      </c>
      <c r="C27" s="29"/>
      <c r="D27" s="29"/>
      <c r="E27" s="29"/>
      <c r="F27" s="29"/>
    </row>
    <row r="28" spans="1:7" x14ac:dyDescent="0.2">
      <c r="A28" s="29"/>
      <c r="C28" s="29"/>
      <c r="D28" s="29"/>
      <c r="E28" s="29"/>
      <c r="F28" s="29"/>
    </row>
    <row r="29" spans="1:7" x14ac:dyDescent="0.2">
      <c r="A29" s="29"/>
      <c r="C29" s="29"/>
      <c r="D29" s="29"/>
      <c r="E29" s="29"/>
      <c r="F29" s="29"/>
    </row>
    <row r="30" spans="1:7" x14ac:dyDescent="0.2">
      <c r="A30" s="25" t="s">
        <v>14</v>
      </c>
      <c r="B30" s="25"/>
      <c r="C30" s="25"/>
      <c r="D30" s="25"/>
      <c r="E30" s="25"/>
      <c r="F30" s="25"/>
      <c r="G30" s="25"/>
    </row>
    <row r="32" spans="1:7" s="29" customFormat="1" x14ac:dyDescent="0.2">
      <c r="A32" s="29" t="s">
        <v>25</v>
      </c>
      <c r="B32" s="29" t="s">
        <v>38</v>
      </c>
      <c r="C32" s="29" t="s">
        <v>2</v>
      </c>
      <c r="D32" s="30" t="s">
        <v>9</v>
      </c>
      <c r="E32" s="30" t="s">
        <v>3</v>
      </c>
      <c r="F32" s="30" t="s">
        <v>4</v>
      </c>
      <c r="G32" s="30" t="s">
        <v>16</v>
      </c>
    </row>
    <row r="33" spans="1:7" x14ac:dyDescent="0.2">
      <c r="A33" s="24" t="str">
        <f>MatP8815C0Colour</f>
        <v>Not Specified</v>
      </c>
      <c r="B33" s="24" t="str">
        <f>IF(MatP8815C0Code=0,"",MatP8815C0Code)</f>
        <v/>
      </c>
      <c r="C33" s="24" t="str">
        <f>MatP8815C0Desc</f>
        <v>TLE Tile</v>
      </c>
      <c r="D33" s="31">
        <v>593</v>
      </c>
      <c r="E33" s="32">
        <f>MatP8815C0Price</f>
        <v>1.2</v>
      </c>
      <c r="F33" s="33" t="str">
        <f>MatP8815C0PerText</f>
        <v>Each</v>
      </c>
      <c r="G33" s="32">
        <f t="shared" ref="G33:G46" si="0">D33 * E33</f>
        <v>711.6</v>
      </c>
    </row>
    <row r="34" spans="1:7" x14ac:dyDescent="0.2">
      <c r="A34" s="24" t="str">
        <f>MatP8870C0Colour</f>
        <v>Not Specified</v>
      </c>
      <c r="B34" s="24" t="str">
        <f>IF(MatP8870C0Code=0,"",MatP8870C0Code)</f>
        <v/>
      </c>
      <c r="C34" s="24" t="str">
        <f>MatP8870C0Desc</f>
        <v>Ridge Tile (450mm)</v>
      </c>
      <c r="D34" s="31">
        <v>52</v>
      </c>
      <c r="E34" s="32">
        <f>MatP8870C0Price</f>
        <v>3.64</v>
      </c>
      <c r="F34" s="33" t="str">
        <f>MatP8870C0PerText</f>
        <v>Each</v>
      </c>
      <c r="G34" s="32">
        <f t="shared" si="0"/>
        <v>189.28</v>
      </c>
    </row>
    <row r="35" spans="1:7" x14ac:dyDescent="0.2">
      <c r="A35" s="24" t="str">
        <f>MatP10135C0Colour</f>
        <v>Not Specified</v>
      </c>
      <c r="B35" s="24" t="str">
        <f>IF(MatP10135C0Code=0,"",MatP10135C0Code)</f>
        <v/>
      </c>
      <c r="C35" s="24" t="str">
        <f>MatP10135C0Desc</f>
        <v>VP300 Vapour Permeable Underlay (50m x 1m)</v>
      </c>
      <c r="D35" s="31">
        <v>2.9999999403953552</v>
      </c>
      <c r="E35" s="32">
        <f>MatP10135C0Price</f>
        <v>35</v>
      </c>
      <c r="F35" s="33" t="str">
        <f>MatP10135C0PerText</f>
        <v>Roll</v>
      </c>
      <c r="G35" s="32">
        <f t="shared" si="0"/>
        <v>104.99999791383743</v>
      </c>
    </row>
    <row r="36" spans="1:7" x14ac:dyDescent="0.2">
      <c r="A36" s="24" t="str">
        <f>MatP9008C0Colour</f>
        <v>Not Specified</v>
      </c>
      <c r="B36" s="24" t="str">
        <f>IF(MatP9008C0Code=0,"",MatP9008C0Code)</f>
        <v/>
      </c>
      <c r="C36" s="24" t="str">
        <f>MatP9008C0Desc</f>
        <v>Battens (50mm x 25mm)</v>
      </c>
      <c r="D36" s="31">
        <v>287</v>
      </c>
      <c r="E36" s="32">
        <f>MatP9008C0Price</f>
        <v>0.9</v>
      </c>
      <c r="F36" s="33" t="str">
        <f>MatP9008C0PerText</f>
        <v>Metre</v>
      </c>
      <c r="G36" s="32">
        <f t="shared" si="0"/>
        <v>258.3</v>
      </c>
    </row>
    <row r="37" spans="1:7" x14ac:dyDescent="0.2">
      <c r="A37" s="24" t="str">
        <f>MatP8847C20Colour</f>
        <v>Not Specified</v>
      </c>
      <c r="B37" s="24" t="str">
        <f>IF(MatP8847C20Code=0,"",MatP8847C20Code)</f>
        <v/>
      </c>
      <c r="C37" s="24" t="str">
        <f>MatP8847C20Desc</f>
        <v>Hip Support Tray (1.2m)</v>
      </c>
      <c r="D37" s="31">
        <v>20</v>
      </c>
      <c r="E37" s="32">
        <f>MatP8847C20Price</f>
        <v>2.13</v>
      </c>
      <c r="F37" s="33" t="str">
        <f>MatP8847C20PerText</f>
        <v>Each</v>
      </c>
      <c r="G37" s="32">
        <f t="shared" si="0"/>
        <v>42.599999999999994</v>
      </c>
    </row>
    <row r="38" spans="1:7" x14ac:dyDescent="0.2">
      <c r="A38" s="24" t="str">
        <f>MatP8879C15Colour</f>
        <v>Not Specified</v>
      </c>
      <c r="B38" s="24" t="str">
        <f>IF(MatP8879C15Code=0,"",MatP8879C15Code)</f>
        <v/>
      </c>
      <c r="C38" s="24" t="str">
        <f>MatP8879C15Desc</f>
        <v>Universal Dry Ridge/Hip System (6m)</v>
      </c>
      <c r="D38" s="31">
        <v>4</v>
      </c>
      <c r="E38" s="32">
        <f>MatP8879C15Price</f>
        <v>28.09</v>
      </c>
      <c r="F38" s="33" t="str">
        <f>MatP8879C15PerText</f>
        <v>Pack</v>
      </c>
      <c r="G38" s="32">
        <f t="shared" si="0"/>
        <v>112.36</v>
      </c>
    </row>
    <row r="39" spans="1:7" x14ac:dyDescent="0.2">
      <c r="A39" s="24" t="str">
        <f>MatP8281C0Colour</f>
        <v>Not Specified</v>
      </c>
      <c r="B39" s="24" t="str">
        <f>IF(MatP8281C0Code=0,"",MatP8281C0Code)</f>
        <v/>
      </c>
      <c r="C39" s="24" t="str">
        <f>MatP8281C0Desc</f>
        <v>Generic Eave Insulation (1m)</v>
      </c>
      <c r="D39" s="31">
        <v>29</v>
      </c>
      <c r="E39" s="32">
        <f>MatP8281C0Price</f>
        <v>5</v>
      </c>
      <c r="F39" s="33" t="str">
        <f>MatP8281C0PerText</f>
        <v>Each</v>
      </c>
      <c r="G39" s="32">
        <f t="shared" si="0"/>
        <v>145</v>
      </c>
    </row>
    <row r="40" spans="1:7" x14ac:dyDescent="0.2">
      <c r="A40" s="24" t="str">
        <f>MatP8624C0Colour</f>
        <v>Not Specified</v>
      </c>
      <c r="B40" s="24" t="str">
        <f>IF(MatP8624C0Code=0,"",MatP8624C0Code)</f>
        <v/>
      </c>
      <c r="C40" s="24" t="str">
        <f>MatP8624C0Desc</f>
        <v>Generic Party Wall Insulation (1m)</v>
      </c>
      <c r="D40" s="31">
        <v>9</v>
      </c>
      <c r="E40" s="32">
        <f>MatP8624C0Price</f>
        <v>5</v>
      </c>
      <c r="F40" s="33" t="str">
        <f>MatP8624C0PerText</f>
        <v>Each</v>
      </c>
      <c r="G40" s="32">
        <f t="shared" si="0"/>
        <v>45</v>
      </c>
    </row>
    <row r="41" spans="1:7" x14ac:dyDescent="0.2">
      <c r="A41" s="24" t="str">
        <f>MatP8874C20Colour</f>
        <v>Not Specified</v>
      </c>
      <c r="B41" s="24" t="str">
        <f>IF(MatP8874C20Code=0,"",MatP8874C20Code)</f>
        <v/>
      </c>
      <c r="C41" s="24" t="str">
        <f>MatP8874C20Desc</f>
        <v>Underlay Support Tray (1.5m)</v>
      </c>
      <c r="D41" s="31">
        <v>20</v>
      </c>
      <c r="E41" s="32">
        <f>MatP8874C20Price</f>
        <v>1.5</v>
      </c>
      <c r="F41" s="33" t="str">
        <f>MatP8874C20PerText</f>
        <v>Each</v>
      </c>
      <c r="G41" s="32">
        <f t="shared" si="0"/>
        <v>30</v>
      </c>
    </row>
    <row r="42" spans="1:7" x14ac:dyDescent="0.2">
      <c r="A42" s="24" t="str">
        <f>MatP8872C539Colour</f>
        <v>Not Specified</v>
      </c>
      <c r="B42" s="24" t="str">
        <f>IF(MatP8872C539Code=0,"",MatP8872C539Code)</f>
        <v/>
      </c>
      <c r="C42" s="24" t="str">
        <f>MatP8872C539Desc</f>
        <v>Sidelock Tile Clips (TLE)</v>
      </c>
      <c r="D42" s="31">
        <v>191</v>
      </c>
      <c r="E42" s="32">
        <f>MatP8872C539Price</f>
        <v>7.0000000000000007E-2</v>
      </c>
      <c r="F42" s="33" t="str">
        <f>MatP8872C539PerText</f>
        <v>Each</v>
      </c>
      <c r="G42" s="32">
        <f t="shared" si="0"/>
        <v>13.370000000000001</v>
      </c>
    </row>
    <row r="43" spans="1:7" x14ac:dyDescent="0.2">
      <c r="A43" s="24" t="str">
        <f>MatP8831C539Colour</f>
        <v>Not Specified</v>
      </c>
      <c r="B43" s="24" t="str">
        <f>IF(MatP8831C539Code=0,"",MatP8831C539Code)</f>
        <v/>
      </c>
      <c r="C43" s="24" t="str">
        <f>MatP8831C539Desc</f>
        <v>Eave Clip</v>
      </c>
      <c r="D43" s="31">
        <v>96</v>
      </c>
      <c r="E43" s="32">
        <f>MatP8831C539Price</f>
        <v>0.1</v>
      </c>
      <c r="F43" s="33" t="str">
        <f>MatP8831C539PerText</f>
        <v>Each</v>
      </c>
      <c r="G43" s="32">
        <f t="shared" si="0"/>
        <v>9.6000000000000014</v>
      </c>
    </row>
    <row r="44" spans="1:7" x14ac:dyDescent="0.2">
      <c r="A44" s="24" t="str">
        <f>MatP9318C0Colour</f>
        <v>Not Specified</v>
      </c>
      <c r="B44" s="24" t="str">
        <f>IF(MatP9318C0Code=0,"",MatP9318C0Code)</f>
        <v/>
      </c>
      <c r="C44" s="24" t="str">
        <f>MatP9318C0Desc</f>
        <v>45mm x 3.35mm Aluminium Nails</v>
      </c>
      <c r="D44" s="31">
        <v>2.0000000596046448</v>
      </c>
      <c r="E44" s="32">
        <f>MatP9318C0Price</f>
        <v>7.28</v>
      </c>
      <c r="F44" s="33" t="str">
        <f>MatP9318C0PerText</f>
        <v>Kg</v>
      </c>
      <c r="G44" s="32">
        <f t="shared" si="0"/>
        <v>14.560000433921815</v>
      </c>
    </row>
    <row r="45" spans="1:7" x14ac:dyDescent="0.2">
      <c r="A45" s="24" t="str">
        <f>MatP9100C0Colour</f>
        <v>Not Specified</v>
      </c>
      <c r="B45" s="24" t="str">
        <f>IF(MatP9100C0Code=0,"",MatP9100C0Code)</f>
        <v/>
      </c>
      <c r="C45" s="24" t="str">
        <f>MatP9100C0Desc</f>
        <v>Batten Nails - 65mm x 3.35mm Galvanised</v>
      </c>
      <c r="D45" s="31">
        <v>2</v>
      </c>
      <c r="E45" s="32">
        <f>MatP9100C0Price</f>
        <v>4.5</v>
      </c>
      <c r="F45" s="33" t="str">
        <f>MatP9100C0PerText</f>
        <v>Kg</v>
      </c>
      <c r="G45" s="32">
        <f t="shared" si="0"/>
        <v>9</v>
      </c>
    </row>
    <row r="46" spans="1:7" x14ac:dyDescent="0.2">
      <c r="A46" s="24" t="str">
        <f>MatLeadHipSaddleColour</f>
        <v>Not Specified</v>
      </c>
      <c r="B46" s="24" t="str">
        <f>IF(MatLeadHipSaddleCode=0,"",MatLeadHipSaddleCode)</f>
        <v/>
      </c>
      <c r="C46" s="24" t="str">
        <f>MatLeadHipSaddleDesc</f>
        <v>Lead Hip Saddle</v>
      </c>
      <c r="D46" s="31">
        <v>2</v>
      </c>
      <c r="E46" s="32">
        <f>MatLeadHipSaddlePrice</f>
        <v>15</v>
      </c>
      <c r="F46" s="33" t="str">
        <f>MatLeadHipSaddlePerText</f>
        <v>Each</v>
      </c>
      <c r="G46" s="32">
        <f t="shared" si="0"/>
        <v>30</v>
      </c>
    </row>
    <row r="47" spans="1:7" x14ac:dyDescent="0.2">
      <c r="D47" s="31"/>
      <c r="E47" s="32"/>
      <c r="F47" s="33"/>
      <c r="G47" s="32"/>
    </row>
    <row r="48" spans="1:7" x14ac:dyDescent="0.2">
      <c r="F48" s="34" t="s">
        <v>5</v>
      </c>
      <c r="G48" s="35">
        <f>SUM(G33:G47)</f>
        <v>1715.669998347759</v>
      </c>
    </row>
    <row r="49" spans="1:7" x14ac:dyDescent="0.2">
      <c r="G49" s="34"/>
    </row>
    <row r="50" spans="1:7" x14ac:dyDescent="0.2">
      <c r="A50" s="25" t="s">
        <v>15</v>
      </c>
      <c r="B50" s="25"/>
      <c r="D50" s="25"/>
      <c r="E50" s="25"/>
      <c r="F50" s="25"/>
      <c r="G50" s="25"/>
    </row>
    <row r="52" spans="1:7" x14ac:dyDescent="0.2">
      <c r="A52" s="102" t="s">
        <v>6</v>
      </c>
      <c r="B52" s="102"/>
      <c r="C52" s="102"/>
      <c r="D52" s="34" t="s">
        <v>7</v>
      </c>
      <c r="E52" s="34" t="s">
        <v>9</v>
      </c>
      <c r="F52" s="34" t="s">
        <v>8</v>
      </c>
      <c r="G52" s="34" t="s">
        <v>16</v>
      </c>
    </row>
    <row r="53" spans="1:7" x14ac:dyDescent="0.2">
      <c r="A53" s="103" t="str">
        <f>LabP8815R6L1G1Desc</f>
        <v>Main Area</v>
      </c>
      <c r="B53" s="103"/>
      <c r="C53" s="103"/>
      <c r="D53" s="36">
        <f>LabP8815R6L1G1Rate</f>
        <v>9</v>
      </c>
      <c r="E53" s="37">
        <f>'Z-GTWNPYR-Garage'!Area</f>
        <v>59.9</v>
      </c>
      <c r="F53" s="27" t="str">
        <f xml:space="preserve"> "" &amp; LabP8815R6L1G1Per</f>
        <v>m²</v>
      </c>
      <c r="G53" s="36">
        <f>D53 * E53</f>
        <v>539.1</v>
      </c>
    </row>
    <row r="54" spans="1:7" x14ac:dyDescent="0.2">
      <c r="A54" s="24" t="str">
        <f>LabP8815R0L1G2Desc</f>
        <v>Eave</v>
      </c>
      <c r="D54" s="36">
        <f>LabP8815R0L1G2Rate</f>
        <v>2.5</v>
      </c>
      <c r="E54" s="37">
        <f>'Z-GTWNPYR-Garage'!Eave</f>
        <v>28.8</v>
      </c>
      <c r="F54" s="27" t="str">
        <f xml:space="preserve"> "" &amp; LabP8815R0L1G2Per</f>
        <v>m</v>
      </c>
      <c r="G54" s="36">
        <f>D54 * E54</f>
        <v>72</v>
      </c>
    </row>
    <row r="55" spans="1:7" x14ac:dyDescent="0.2">
      <c r="A55" s="24" t="str">
        <f>LabP8815R15L1G6Desc</f>
        <v>Hip</v>
      </c>
      <c r="D55" s="36">
        <f>LabP8815R15L1G6Rate</f>
        <v>15</v>
      </c>
      <c r="E55" s="37">
        <f>'Z-GTWNPYR-Garage'!Hip</f>
        <v>22</v>
      </c>
      <c r="F55" s="27" t="str">
        <f xml:space="preserve"> "" &amp; LabP8815R15L1G6Per</f>
        <v>m</v>
      </c>
      <c r="G55" s="36">
        <f>D55 * E55</f>
        <v>330</v>
      </c>
    </row>
    <row r="56" spans="1:7" x14ac:dyDescent="0.2">
      <c r="A56" s="24" t="str">
        <f>LabP8815R0L1G241Desc</f>
        <v>Party Wall Insulation</v>
      </c>
      <c r="D56" s="36">
        <f>LabP8815R0L1G241Rate</f>
        <v>1.5</v>
      </c>
      <c r="E56" s="37">
        <v>8.32</v>
      </c>
      <c r="F56" s="27" t="str">
        <f xml:space="preserve"> "" &amp; LabP8815R0L1G241Per</f>
        <v>m</v>
      </c>
      <c r="G56" s="36">
        <f>D56 * E56</f>
        <v>12.48</v>
      </c>
    </row>
    <row r="57" spans="1:7" x14ac:dyDescent="0.2">
      <c r="D57" s="36"/>
      <c r="E57" s="37"/>
      <c r="F57" s="27"/>
      <c r="G57" s="36"/>
    </row>
    <row r="58" spans="1:7" x14ac:dyDescent="0.2">
      <c r="A58" s="103"/>
      <c r="B58" s="103"/>
      <c r="C58" s="103"/>
      <c r="D58" s="36"/>
      <c r="E58" s="37"/>
      <c r="G58" s="36"/>
    </row>
    <row r="59" spans="1:7" x14ac:dyDescent="0.2">
      <c r="F59" s="34" t="s">
        <v>5</v>
      </c>
      <c r="G59" s="35">
        <f>SUM(G53:G58)</f>
        <v>953.58</v>
      </c>
    </row>
    <row r="63" spans="1:7" x14ac:dyDescent="0.2">
      <c r="A63" s="34"/>
      <c r="B63" s="38"/>
    </row>
    <row r="65" spans="1:3" x14ac:dyDescent="0.2">
      <c r="A65" s="34"/>
      <c r="B65" s="38"/>
    </row>
    <row r="67" spans="1:3" x14ac:dyDescent="0.2">
      <c r="A67" s="34"/>
      <c r="B67" s="38"/>
    </row>
    <row r="69" spans="1:3" x14ac:dyDescent="0.2">
      <c r="A69" s="34"/>
      <c r="B69" s="38"/>
    </row>
    <row r="72" spans="1:3" x14ac:dyDescent="0.2">
      <c r="A72" s="34"/>
      <c r="B72" s="38"/>
      <c r="C72" s="39"/>
    </row>
    <row r="74" spans="1:3" x14ac:dyDescent="0.2">
      <c r="A74" s="34"/>
      <c r="B74" s="38"/>
    </row>
    <row r="76" spans="1:3" x14ac:dyDescent="0.2">
      <c r="A76" s="34"/>
      <c r="B76" s="38"/>
      <c r="C76" s="39"/>
    </row>
    <row r="78" spans="1:3" x14ac:dyDescent="0.2">
      <c r="A78" s="34"/>
      <c r="B78" s="38"/>
    </row>
    <row r="80" spans="1:3" x14ac:dyDescent="0.2">
      <c r="A80" s="34"/>
      <c r="B80" s="38"/>
    </row>
    <row r="83" spans="1:3" x14ac:dyDescent="0.2">
      <c r="A83" s="34"/>
      <c r="B83" s="38"/>
    </row>
    <row r="85" spans="1:3" x14ac:dyDescent="0.2">
      <c r="A85" s="34"/>
      <c r="B85" s="38"/>
    </row>
    <row r="87" spans="1:3" x14ac:dyDescent="0.2">
      <c r="A87" s="34"/>
      <c r="B87" s="38"/>
      <c r="C87" s="39"/>
    </row>
    <row r="90" spans="1:3" x14ac:dyDescent="0.2">
      <c r="A90" s="34"/>
      <c r="B90" s="40"/>
      <c r="C90" s="23"/>
    </row>
    <row r="93" spans="1:3" x14ac:dyDescent="0.2">
      <c r="A93" s="39"/>
      <c r="B93" s="41"/>
    </row>
  </sheetData>
  <mergeCells count="5">
    <mergeCell ref="B4:F4"/>
    <mergeCell ref="B5:F5"/>
    <mergeCell ref="A52:C52"/>
    <mergeCell ref="A53:C53"/>
    <mergeCell ref="A58:C58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C8230-FD0D-4848-86BA-FDCAF1723BD6}">
  <dimension ref="A1:G97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138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145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3.75</v>
      </c>
      <c r="C9" s="23"/>
      <c r="D9" s="26"/>
    </row>
    <row r="10" spans="1:7" x14ac:dyDescent="0.2">
      <c r="A10" s="23" t="s">
        <v>114</v>
      </c>
      <c r="B10" s="24">
        <v>2.8</v>
      </c>
      <c r="C10" s="23"/>
      <c r="D10" s="26"/>
    </row>
    <row r="11" spans="1:7" x14ac:dyDescent="0.2">
      <c r="A11" s="23" t="s">
        <v>141</v>
      </c>
      <c r="B11" s="24">
        <v>2.8</v>
      </c>
      <c r="C11" s="23"/>
      <c r="D11" s="26"/>
    </row>
    <row r="12" spans="1:7" x14ac:dyDescent="0.2">
      <c r="A12" s="23" t="s">
        <v>115</v>
      </c>
      <c r="B12" s="24">
        <v>1.34</v>
      </c>
      <c r="C12" s="23"/>
      <c r="D12" s="26"/>
    </row>
    <row r="13" spans="1:7" x14ac:dyDescent="0.2">
      <c r="A13" s="23" t="s">
        <v>116</v>
      </c>
      <c r="B13" s="24">
        <v>1.34</v>
      </c>
      <c r="C13" s="23"/>
      <c r="D13" s="26"/>
    </row>
    <row r="14" spans="1:7" x14ac:dyDescent="0.2">
      <c r="A14" s="23" t="s">
        <v>119</v>
      </c>
      <c r="B14" s="24">
        <v>600</v>
      </c>
      <c r="C14" s="23"/>
      <c r="D14" s="26"/>
    </row>
    <row r="15" spans="1:7" x14ac:dyDescent="0.2">
      <c r="A15" s="23" t="s">
        <v>120</v>
      </c>
      <c r="B15" s="24">
        <v>35</v>
      </c>
      <c r="C15" s="23"/>
      <c r="D15" s="26"/>
    </row>
    <row r="16" spans="1:7" x14ac:dyDescent="0.2">
      <c r="A16" s="23"/>
      <c r="C16" s="23"/>
      <c r="D16" s="26"/>
    </row>
    <row r="17" spans="1:7" x14ac:dyDescent="0.2">
      <c r="A17" s="23"/>
      <c r="B17" s="27"/>
      <c r="C17" s="23"/>
      <c r="D17" s="26"/>
    </row>
    <row r="18" spans="1:7" x14ac:dyDescent="0.2">
      <c r="A18" s="28" t="s">
        <v>10</v>
      </c>
      <c r="B18" s="28"/>
      <c r="C18" s="28"/>
      <c r="D18" s="28"/>
      <c r="E18" s="28"/>
      <c r="F18" s="28"/>
      <c r="G18" s="28"/>
    </row>
    <row r="19" spans="1:7" x14ac:dyDescent="0.2">
      <c r="A19" s="28"/>
      <c r="B19" s="28"/>
      <c r="C19" s="28"/>
      <c r="D19" s="28"/>
      <c r="E19" s="28"/>
      <c r="F19" s="28"/>
      <c r="G19" s="28"/>
    </row>
    <row r="20" spans="1:7" x14ac:dyDescent="0.2">
      <c r="A20" s="29" t="s">
        <v>121</v>
      </c>
      <c r="B20" s="24" t="s">
        <v>122</v>
      </c>
      <c r="C20" s="29"/>
      <c r="D20" s="29"/>
      <c r="E20" s="29"/>
      <c r="F20" s="29"/>
    </row>
    <row r="21" spans="1:7" x14ac:dyDescent="0.2">
      <c r="A21" s="29" t="s">
        <v>123</v>
      </c>
      <c r="B21" s="24" t="s">
        <v>124</v>
      </c>
      <c r="C21" s="29"/>
      <c r="D21" s="29"/>
      <c r="E21" s="29"/>
      <c r="F21" s="29"/>
    </row>
    <row r="22" spans="1:7" x14ac:dyDescent="0.2">
      <c r="A22" s="29"/>
      <c r="B22" s="24" t="s">
        <v>125</v>
      </c>
      <c r="C22" s="29"/>
      <c r="D22" s="29"/>
      <c r="E22" s="29"/>
      <c r="F22" s="29"/>
    </row>
    <row r="23" spans="1:7" x14ac:dyDescent="0.2">
      <c r="A23" s="29" t="s">
        <v>126</v>
      </c>
      <c r="B23" s="24" t="s">
        <v>127</v>
      </c>
      <c r="C23" s="29"/>
      <c r="D23" s="29"/>
      <c r="E23" s="29"/>
      <c r="F23" s="29"/>
    </row>
    <row r="24" spans="1:7" x14ac:dyDescent="0.2">
      <c r="A24" s="29"/>
      <c r="B24" s="24" t="s">
        <v>142</v>
      </c>
      <c r="C24" s="29"/>
      <c r="D24" s="29"/>
      <c r="E24" s="29"/>
      <c r="F24" s="29"/>
    </row>
    <row r="25" spans="1:7" x14ac:dyDescent="0.2">
      <c r="A25" s="29">
        <v>20</v>
      </c>
      <c r="B25" s="24" t="s">
        <v>130</v>
      </c>
      <c r="C25" s="29"/>
      <c r="D25" s="29"/>
      <c r="E25" s="29"/>
      <c r="F25" s="29"/>
    </row>
    <row r="26" spans="1:7" x14ac:dyDescent="0.2">
      <c r="A26" s="29" t="s">
        <v>134</v>
      </c>
      <c r="B26" s="24" t="s">
        <v>135</v>
      </c>
      <c r="C26" s="29"/>
      <c r="D26" s="29"/>
      <c r="E26" s="29"/>
      <c r="F26" s="29"/>
    </row>
    <row r="27" spans="1:7" x14ac:dyDescent="0.2">
      <c r="A27" s="29" t="s">
        <v>136</v>
      </c>
      <c r="B27" s="24" t="s">
        <v>137</v>
      </c>
      <c r="C27" s="29"/>
      <c r="D27" s="29"/>
      <c r="E27" s="29"/>
      <c r="F27" s="29"/>
    </row>
    <row r="28" spans="1:7" x14ac:dyDescent="0.2">
      <c r="A28" s="29" t="s">
        <v>143</v>
      </c>
      <c r="B28" s="24" t="s">
        <v>144</v>
      </c>
      <c r="C28" s="29"/>
      <c r="D28" s="29"/>
      <c r="E28" s="29"/>
      <c r="F28" s="29"/>
    </row>
    <row r="29" spans="1:7" x14ac:dyDescent="0.2">
      <c r="A29" s="29"/>
      <c r="C29" s="29"/>
      <c r="D29" s="29"/>
      <c r="E29" s="29"/>
      <c r="F29" s="29"/>
    </row>
    <row r="30" spans="1:7" x14ac:dyDescent="0.2">
      <c r="A30" s="29"/>
      <c r="C30" s="29"/>
      <c r="D30" s="29"/>
      <c r="E30" s="29"/>
      <c r="F30" s="29"/>
    </row>
    <row r="31" spans="1:7" x14ac:dyDescent="0.2">
      <c r="A31" s="25" t="s">
        <v>14</v>
      </c>
      <c r="B31" s="25"/>
      <c r="C31" s="25"/>
      <c r="D31" s="25"/>
      <c r="E31" s="25"/>
      <c r="F31" s="25"/>
      <c r="G31" s="25"/>
    </row>
    <row r="33" spans="1:7" s="29" customFormat="1" x14ac:dyDescent="0.2">
      <c r="A33" s="29" t="s">
        <v>25</v>
      </c>
      <c r="B33" s="29" t="s">
        <v>38</v>
      </c>
      <c r="C33" s="29" t="s">
        <v>2</v>
      </c>
      <c r="D33" s="30" t="s">
        <v>9</v>
      </c>
      <c r="E33" s="30" t="s">
        <v>3</v>
      </c>
      <c r="F33" s="30" t="s">
        <v>4</v>
      </c>
      <c r="G33" s="30" t="s">
        <v>16</v>
      </c>
    </row>
    <row r="34" spans="1:7" x14ac:dyDescent="0.2">
      <c r="A34" s="24" t="str">
        <f>MatP8815C0Colour</f>
        <v>Not Specified</v>
      </c>
      <c r="B34" s="24" t="str">
        <f>IF(MatP8815C0Code=0,"",MatP8815C0Code)</f>
        <v/>
      </c>
      <c r="C34" s="24" t="str">
        <f>MatP8815C0Desc</f>
        <v>TLE Tile</v>
      </c>
      <c r="D34" s="31">
        <v>41</v>
      </c>
      <c r="E34" s="32">
        <f>MatP8815C0Price</f>
        <v>1.2</v>
      </c>
      <c r="F34" s="33" t="str">
        <f>MatP8815C0PerText</f>
        <v>Each</v>
      </c>
      <c r="G34" s="32">
        <f t="shared" ref="G34:G49" si="0">D34 * E34</f>
        <v>49.199999999999996</v>
      </c>
    </row>
    <row r="35" spans="1:7" x14ac:dyDescent="0.2">
      <c r="A35" s="24" t="str">
        <f>MatP10135C0Colour</f>
        <v>Not Specified</v>
      </c>
      <c r="B35" s="24" t="str">
        <f>IF(MatP10135C0Code=0,"",MatP10135C0Code)</f>
        <v/>
      </c>
      <c r="C35" s="24" t="str">
        <f>MatP10135C0Desc</f>
        <v>VP300 Vapour Permeable Underlay (50m x 1m)</v>
      </c>
      <c r="D35" s="31">
        <v>0.25</v>
      </c>
      <c r="E35" s="32">
        <f>MatP10135C0Price</f>
        <v>35</v>
      </c>
      <c r="F35" s="33" t="str">
        <f>MatP10135C0PerText</f>
        <v>Roll</v>
      </c>
      <c r="G35" s="32">
        <f t="shared" si="0"/>
        <v>8.75</v>
      </c>
    </row>
    <row r="36" spans="1:7" x14ac:dyDescent="0.2">
      <c r="A36" s="24" t="str">
        <f>MatP9008C0Colour</f>
        <v>Not Specified</v>
      </c>
      <c r="B36" s="24" t="str">
        <f>IF(MatP9008C0Code=0,"",MatP9008C0Code)</f>
        <v/>
      </c>
      <c r="C36" s="24" t="str">
        <f>MatP9008C0Desc</f>
        <v>Battens (50mm x 25mm)</v>
      </c>
      <c r="D36" s="31">
        <v>12</v>
      </c>
      <c r="E36" s="32">
        <f>MatP9008C0Price</f>
        <v>0.9</v>
      </c>
      <c r="F36" s="33" t="str">
        <f>MatP9008C0PerText</f>
        <v>Metre</v>
      </c>
      <c r="G36" s="32">
        <f t="shared" si="0"/>
        <v>10.8</v>
      </c>
    </row>
    <row r="37" spans="1:7" x14ac:dyDescent="0.2">
      <c r="A37" s="24" t="str">
        <f>MatP8857C0Colour</f>
        <v>Not Specified</v>
      </c>
      <c r="B37" s="24" t="str">
        <f>IF(MatP8857C0Code=0,"",MatP8857C0Code)</f>
        <v/>
      </c>
      <c r="C37" s="24" t="str">
        <f>MatP8857C0Desc</f>
        <v>LH Uni-Fix Dry Verge Unit</v>
      </c>
      <c r="D37" s="31">
        <v>8</v>
      </c>
      <c r="E37" s="32">
        <f>MatP8857C0Price</f>
        <v>1.1000000000000001</v>
      </c>
      <c r="F37" s="33" t="str">
        <f>MatP8857C0PerText</f>
        <v>Each</v>
      </c>
      <c r="G37" s="32">
        <f t="shared" si="0"/>
        <v>8.8000000000000007</v>
      </c>
    </row>
    <row r="38" spans="1:7" x14ac:dyDescent="0.2">
      <c r="A38" s="24" t="str">
        <f>MatP8869C0Colour</f>
        <v>Not Specified</v>
      </c>
      <c r="B38" s="24" t="str">
        <f>IF(MatP8869C0Code=0,"",MatP8869C0Code)</f>
        <v/>
      </c>
      <c r="C38" s="24" t="str">
        <f>MatP8869C0Desc</f>
        <v>RH Uni-Fix Dry Verge Unit</v>
      </c>
      <c r="D38" s="31">
        <v>8</v>
      </c>
      <c r="E38" s="32">
        <f>MatP8869C0Price</f>
        <v>1.1000000000000001</v>
      </c>
      <c r="F38" s="33" t="str">
        <f>MatP8869C0PerText</f>
        <v>Each</v>
      </c>
      <c r="G38" s="32">
        <f t="shared" si="0"/>
        <v>8.8000000000000007</v>
      </c>
    </row>
    <row r="39" spans="1:7" x14ac:dyDescent="0.2">
      <c r="A39" s="24" t="str">
        <f>MatP8830C20Colour</f>
        <v>Not Specified</v>
      </c>
      <c r="B39" s="24" t="str">
        <f>IF(MatP8830C20Code=0,"",MatP8830C20Code)</f>
        <v/>
      </c>
      <c r="C39" s="24" t="str">
        <f>MatP8830C20Desc</f>
        <v>Dry Verge Starter Unit</v>
      </c>
      <c r="D39" s="31">
        <v>2</v>
      </c>
      <c r="E39" s="32">
        <f>MatP8830C20Price</f>
        <v>1.51</v>
      </c>
      <c r="F39" s="33" t="str">
        <f>MatP8830C20PerText</f>
        <v>Each</v>
      </c>
      <c r="G39" s="32">
        <f t="shared" si="0"/>
        <v>3.02</v>
      </c>
    </row>
    <row r="40" spans="1:7" x14ac:dyDescent="0.2">
      <c r="A40" s="24" t="str">
        <f>MatP8821C20Colour</f>
        <v>Not Specified</v>
      </c>
      <c r="B40" s="24" t="str">
        <f>IF(MatP8821C20Code=0,"",MatP8821C20Code)</f>
        <v/>
      </c>
      <c r="C40" s="24" t="str">
        <f>MatP8821C20Desc</f>
        <v>25mm Over Fascia Vent (1m)</v>
      </c>
      <c r="D40" s="31">
        <v>3</v>
      </c>
      <c r="E40" s="32">
        <f>MatP8821C20Price</f>
        <v>1.9</v>
      </c>
      <c r="F40" s="33" t="str">
        <f>MatP8821C20PerText</f>
        <v>Each</v>
      </c>
      <c r="G40" s="32">
        <f t="shared" si="0"/>
        <v>5.6999999999999993</v>
      </c>
    </row>
    <row r="41" spans="1:7" x14ac:dyDescent="0.2">
      <c r="A41" s="24" t="str">
        <f>MatP8281C0Colour</f>
        <v>Not Specified</v>
      </c>
      <c r="B41" s="24" t="str">
        <f>IF(MatP8281C0Code=0,"",MatP8281C0Code)</f>
        <v/>
      </c>
      <c r="C41" s="24" t="str">
        <f>MatP8281C0Desc</f>
        <v>Generic Eave Insulation (1m)</v>
      </c>
      <c r="D41" s="31">
        <v>3</v>
      </c>
      <c r="E41" s="32">
        <f>MatP8281C0Price</f>
        <v>5</v>
      </c>
      <c r="F41" s="33" t="str">
        <f>MatP8281C0PerText</f>
        <v>Each</v>
      </c>
      <c r="G41" s="32">
        <f t="shared" si="0"/>
        <v>15</v>
      </c>
    </row>
    <row r="42" spans="1:7" x14ac:dyDescent="0.2">
      <c r="A42" s="24" t="str">
        <f>MatP8866C20Colour</f>
        <v>Not Specified</v>
      </c>
      <c r="B42" s="24" t="str">
        <f>IF(MatP8866C20Code=0,"",MatP8866C20Code)</f>
        <v/>
      </c>
      <c r="C42" s="24" t="str">
        <f>MatP8866C20Desc</f>
        <v>Rafter Roll (6m x 600mm)</v>
      </c>
      <c r="D42" s="31">
        <v>1</v>
      </c>
      <c r="E42" s="32">
        <f>MatP8866C20Price</f>
        <v>9.5</v>
      </c>
      <c r="F42" s="33" t="str">
        <f>MatP8866C20PerText</f>
        <v>Each</v>
      </c>
      <c r="G42" s="32">
        <f t="shared" si="0"/>
        <v>9.5</v>
      </c>
    </row>
    <row r="43" spans="1:7" x14ac:dyDescent="0.2">
      <c r="A43" s="24" t="str">
        <f>MatP8874C20Colour</f>
        <v>Not Specified</v>
      </c>
      <c r="B43" s="24" t="str">
        <f>IF(MatP8874C20Code=0,"",MatP8874C20Code)</f>
        <v/>
      </c>
      <c r="C43" s="24" t="str">
        <f>MatP8874C20Desc</f>
        <v>Underlay Support Tray (1.5m)</v>
      </c>
      <c r="D43" s="31">
        <v>2</v>
      </c>
      <c r="E43" s="32">
        <f>MatP8874C20Price</f>
        <v>1.5</v>
      </c>
      <c r="F43" s="33" t="str">
        <f>MatP8874C20PerText</f>
        <v>Each</v>
      </c>
      <c r="G43" s="32">
        <f t="shared" si="0"/>
        <v>3</v>
      </c>
    </row>
    <row r="44" spans="1:7" x14ac:dyDescent="0.2">
      <c r="A44" s="24" t="str">
        <f>MatP8872C539Colour</f>
        <v>Not Specified</v>
      </c>
      <c r="B44" s="24" t="str">
        <f>IF(MatP8872C539Code=0,"",MatP8872C539Code)</f>
        <v/>
      </c>
      <c r="C44" s="24" t="str">
        <f>MatP8872C539Desc</f>
        <v>Sidelock Tile Clips (TLE)</v>
      </c>
      <c r="D44" s="31">
        <v>6</v>
      </c>
      <c r="E44" s="32">
        <f>MatP8872C539Price</f>
        <v>7.0000000000000007E-2</v>
      </c>
      <c r="F44" s="33" t="str">
        <f>MatP8872C539PerText</f>
        <v>Each</v>
      </c>
      <c r="G44" s="32">
        <f t="shared" si="0"/>
        <v>0.42000000000000004</v>
      </c>
    </row>
    <row r="45" spans="1:7" x14ac:dyDescent="0.2">
      <c r="A45" s="24" t="str">
        <f>MatP8826C539Colour</f>
        <v>Not Specified</v>
      </c>
      <c r="B45" s="24" t="str">
        <f>IF(MatP8826C539Code=0,"",MatP8826C539Code)</f>
        <v/>
      </c>
      <c r="C45" s="24" t="str">
        <f>MatP8826C539Desc</f>
        <v>Metal Batten End Clips</v>
      </c>
      <c r="D45" s="31">
        <v>8</v>
      </c>
      <c r="E45" s="32">
        <f>MatP8826C539Price</f>
        <v>0.28000000000000003</v>
      </c>
      <c r="F45" s="33" t="str">
        <f>MatP8826C539PerText</f>
        <v>Each</v>
      </c>
      <c r="G45" s="32">
        <f t="shared" si="0"/>
        <v>2.2400000000000002</v>
      </c>
    </row>
    <row r="46" spans="1:7" x14ac:dyDescent="0.2">
      <c r="A46" s="24" t="str">
        <f>MatP8831C539Colour</f>
        <v>Not Specified</v>
      </c>
      <c r="B46" s="24" t="str">
        <f>IF(MatP8831C539Code=0,"",MatP8831C539Code)</f>
        <v/>
      </c>
      <c r="C46" s="24" t="str">
        <f>MatP8831C539Desc</f>
        <v>Eave Clip</v>
      </c>
      <c r="D46" s="31">
        <v>10</v>
      </c>
      <c r="E46" s="32">
        <f>MatP8831C539Price</f>
        <v>0.1</v>
      </c>
      <c r="F46" s="33" t="str">
        <f>MatP8831C539PerText</f>
        <v>Each</v>
      </c>
      <c r="G46" s="32">
        <f t="shared" si="0"/>
        <v>1</v>
      </c>
    </row>
    <row r="47" spans="1:7" x14ac:dyDescent="0.2">
      <c r="A47" s="24" t="str">
        <f>MatP9318C0Colour</f>
        <v>Not Specified</v>
      </c>
      <c r="B47" s="24" t="str">
        <f>IF(MatP9318C0Code=0,"",MatP9318C0Code)</f>
        <v/>
      </c>
      <c r="C47" s="24" t="str">
        <f>MatP9318C0Desc</f>
        <v>45mm x 3.35mm Aluminium Nails</v>
      </c>
      <c r="D47" s="31">
        <v>1</v>
      </c>
      <c r="E47" s="32">
        <f>MatP9318C0Price</f>
        <v>7.28</v>
      </c>
      <c r="F47" s="33" t="str">
        <f>MatP9318C0PerText</f>
        <v>Kg</v>
      </c>
      <c r="G47" s="32">
        <f t="shared" si="0"/>
        <v>7.28</v>
      </c>
    </row>
    <row r="48" spans="1:7" x14ac:dyDescent="0.2">
      <c r="A48" s="24" t="str">
        <f>MatP9100C0Colour</f>
        <v>Not Specified</v>
      </c>
      <c r="B48" s="24" t="str">
        <f>IF(MatP9100C0Code=0,"",MatP9100C0Code)</f>
        <v/>
      </c>
      <c r="C48" s="24" t="str">
        <f>MatP9100C0Desc</f>
        <v>Batten Nails - 65mm x 3.35mm Galvanised</v>
      </c>
      <c r="D48" s="31">
        <v>1</v>
      </c>
      <c r="E48" s="32">
        <f>MatP9100C0Price</f>
        <v>4.5</v>
      </c>
      <c r="F48" s="33" t="str">
        <f>MatP9100C0PerText</f>
        <v>Kg</v>
      </c>
      <c r="G48" s="32">
        <f t="shared" si="0"/>
        <v>4.5</v>
      </c>
    </row>
    <row r="49" spans="1:7" x14ac:dyDescent="0.2">
      <c r="A49" s="24" t="str">
        <f>MatP9066C92Colour</f>
        <v>Not Specified</v>
      </c>
      <c r="B49" s="24" t="str">
        <f>IF(MatP9066C92Code=0,"",MatP9066C92Code)</f>
        <v/>
      </c>
      <c r="C49" s="24" t="str">
        <f>MatP9066C92Desc</f>
        <v>Lead Code 4 - 300mm (6m)</v>
      </c>
      <c r="D49" s="31">
        <v>3</v>
      </c>
      <c r="E49" s="32">
        <f>MatP9066C92Price</f>
        <v>15.21</v>
      </c>
      <c r="F49" s="33" t="str">
        <f>MatP9066C92PerText</f>
        <v>Metre</v>
      </c>
      <c r="G49" s="32">
        <f t="shared" si="0"/>
        <v>45.63</v>
      </c>
    </row>
    <row r="50" spans="1:7" x14ac:dyDescent="0.2">
      <c r="D50" s="31"/>
      <c r="E50" s="32"/>
      <c r="F50" s="33"/>
      <c r="G50" s="32"/>
    </row>
    <row r="51" spans="1:7" x14ac:dyDescent="0.2">
      <c r="F51" s="34" t="s">
        <v>5</v>
      </c>
      <c r="G51" s="35">
        <f>SUM(G34:G50)</f>
        <v>183.64</v>
      </c>
    </row>
    <row r="52" spans="1:7" x14ac:dyDescent="0.2">
      <c r="G52" s="34"/>
    </row>
    <row r="53" spans="1:7" x14ac:dyDescent="0.2">
      <c r="A53" s="25" t="s">
        <v>15</v>
      </c>
      <c r="B53" s="25"/>
      <c r="D53" s="25"/>
      <c r="E53" s="25"/>
      <c r="F53" s="25"/>
      <c r="G53" s="25"/>
    </row>
    <row r="55" spans="1:7" x14ac:dyDescent="0.2">
      <c r="A55" s="102" t="s">
        <v>6</v>
      </c>
      <c r="B55" s="102"/>
      <c r="C55" s="102"/>
      <c r="D55" s="34" t="s">
        <v>7</v>
      </c>
      <c r="E55" s="34" t="s">
        <v>9</v>
      </c>
      <c r="F55" s="34" t="s">
        <v>8</v>
      </c>
      <c r="G55" s="34" t="s">
        <v>16</v>
      </c>
    </row>
    <row r="56" spans="1:7" x14ac:dyDescent="0.2">
      <c r="A56" s="103" t="str">
        <f>LabP8815R6L1G1Desc</f>
        <v>Main Area</v>
      </c>
      <c r="B56" s="103"/>
      <c r="C56" s="103"/>
      <c r="D56" s="36">
        <f>LabP8815R6L1G1Rate</f>
        <v>9</v>
      </c>
      <c r="E56" s="37">
        <f>'ALN-END-Porch (Lean to)'!Area</f>
        <v>3.75</v>
      </c>
      <c r="F56" s="27" t="str">
        <f xml:space="preserve"> "" &amp; LabP8815R6L1G1Per</f>
        <v>m²</v>
      </c>
      <c r="G56" s="36">
        <f>D56 * E56</f>
        <v>33.75</v>
      </c>
    </row>
    <row r="57" spans="1:7" x14ac:dyDescent="0.2">
      <c r="A57" s="24" t="str">
        <f>LabP8815R0L1G2Desc</f>
        <v>Eave</v>
      </c>
      <c r="D57" s="36">
        <f>LabP8815R0L1G2Rate</f>
        <v>2.5</v>
      </c>
      <c r="E57" s="37">
        <f>'ALN-END-Porch (Lean to)'!Eave</f>
        <v>2.8</v>
      </c>
      <c r="F57" s="27" t="str">
        <f xml:space="preserve"> "" &amp; LabP8815R0L1G2Per</f>
        <v>m</v>
      </c>
      <c r="G57" s="36">
        <f>D57 * E57</f>
        <v>7</v>
      </c>
    </row>
    <row r="58" spans="1:7" x14ac:dyDescent="0.2">
      <c r="A58" s="24" t="str">
        <f>LabP8815R0L1G3Desc</f>
        <v>Verge</v>
      </c>
      <c r="D58" s="36">
        <f>LabP8815R0L1G3Rate</f>
        <v>2.5</v>
      </c>
      <c r="E58" s="37">
        <f>LeftVerge+RightVerge</f>
        <v>2.68</v>
      </c>
      <c r="F58" s="27" t="str">
        <f xml:space="preserve"> "" &amp; LabP8815R0L1G3Per</f>
        <v>m</v>
      </c>
      <c r="G58" s="36">
        <f>D58 * E58</f>
        <v>6.7</v>
      </c>
    </row>
    <row r="59" spans="1:7" x14ac:dyDescent="0.2">
      <c r="A59" s="24" t="str">
        <f>LabP8815R15L1G243Desc</f>
        <v>Apron Flashing (Code 4)</v>
      </c>
      <c r="D59" s="36">
        <f>LabP8815R15L1G243Rate</f>
        <v>15</v>
      </c>
      <c r="E59" s="37">
        <v>2.8</v>
      </c>
      <c r="F59" s="27" t="str">
        <f xml:space="preserve"> "" &amp; LabP8815R15L1G243Per</f>
        <v>m</v>
      </c>
      <c r="G59" s="36">
        <f>D59 * E59</f>
        <v>42</v>
      </c>
    </row>
    <row r="60" spans="1:7" x14ac:dyDescent="0.2">
      <c r="A60" s="24" t="str">
        <f>LabP8815R150LabLabourforPorchesDesc</f>
        <v>Labour for Porches</v>
      </c>
      <c r="D60" s="36">
        <f>LabP8815R150LabLabourforPorchesRate</f>
        <v>150</v>
      </c>
      <c r="E60" s="37">
        <v>1</v>
      </c>
      <c r="F60" s="27" t="str">
        <f xml:space="preserve"> "" &amp; LabP8815R150LabLabourforPorchesPer</f>
        <v/>
      </c>
      <c r="G60" s="36">
        <f>D60 * E60</f>
        <v>150</v>
      </c>
    </row>
    <row r="61" spans="1:7" x14ac:dyDescent="0.2">
      <c r="D61" s="36"/>
      <c r="E61" s="37"/>
      <c r="F61" s="27"/>
      <c r="G61" s="36"/>
    </row>
    <row r="62" spans="1:7" x14ac:dyDescent="0.2">
      <c r="A62" s="103"/>
      <c r="B62" s="103"/>
      <c r="C62" s="103"/>
      <c r="D62" s="36"/>
      <c r="E62" s="37"/>
      <c r="G62" s="36"/>
    </row>
    <row r="63" spans="1:7" x14ac:dyDescent="0.2">
      <c r="F63" s="34" t="s">
        <v>5</v>
      </c>
      <c r="G63" s="35">
        <f>SUM(G56:G62)</f>
        <v>239.45</v>
      </c>
    </row>
    <row r="67" spans="1:3" x14ac:dyDescent="0.2">
      <c r="A67" s="34"/>
      <c r="B67" s="38"/>
    </row>
    <row r="69" spans="1:3" x14ac:dyDescent="0.2">
      <c r="A69" s="34"/>
      <c r="B69" s="38"/>
    </row>
    <row r="71" spans="1:3" x14ac:dyDescent="0.2">
      <c r="A71" s="34"/>
      <c r="B71" s="38"/>
    </row>
    <row r="73" spans="1:3" x14ac:dyDescent="0.2">
      <c r="A73" s="34"/>
      <c r="B73" s="38"/>
    </row>
    <row r="76" spans="1:3" x14ac:dyDescent="0.2">
      <c r="A76" s="34"/>
      <c r="B76" s="38"/>
      <c r="C76" s="39"/>
    </row>
    <row r="78" spans="1:3" x14ac:dyDescent="0.2">
      <c r="A78" s="34"/>
      <c r="B78" s="38"/>
    </row>
    <row r="80" spans="1:3" x14ac:dyDescent="0.2">
      <c r="A80" s="34"/>
      <c r="B80" s="38"/>
      <c r="C80" s="39"/>
    </row>
    <row r="82" spans="1:3" x14ac:dyDescent="0.2">
      <c r="A82" s="34"/>
      <c r="B82" s="38"/>
    </row>
    <row r="84" spans="1:3" x14ac:dyDescent="0.2">
      <c r="A84" s="34"/>
      <c r="B84" s="38"/>
    </row>
    <row r="87" spans="1:3" x14ac:dyDescent="0.2">
      <c r="A87" s="34"/>
      <c r="B87" s="38"/>
    </row>
    <row r="89" spans="1:3" x14ac:dyDescent="0.2">
      <c r="A89" s="34"/>
      <c r="B89" s="38"/>
    </row>
    <row r="91" spans="1:3" x14ac:dyDescent="0.2">
      <c r="A91" s="34"/>
      <c r="B91" s="38"/>
      <c r="C91" s="39"/>
    </row>
    <row r="94" spans="1:3" x14ac:dyDescent="0.2">
      <c r="A94" s="34"/>
      <c r="B94" s="40"/>
      <c r="C94" s="23"/>
    </row>
    <row r="97" spans="1:2" x14ac:dyDescent="0.2">
      <c r="A97" s="39"/>
      <c r="B97" s="41"/>
    </row>
  </sheetData>
  <mergeCells count="5">
    <mergeCell ref="B4:F4"/>
    <mergeCell ref="B5:F5"/>
    <mergeCell ref="A55:C55"/>
    <mergeCell ref="A56:C56"/>
    <mergeCell ref="A62:C62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47841-882E-4742-9750-4E60B1A10F2B}">
  <dimension ref="A1:G92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147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139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42.48</v>
      </c>
      <c r="C9" s="23"/>
      <c r="D9" s="26"/>
    </row>
    <row r="10" spans="1:7" x14ac:dyDescent="0.2">
      <c r="A10" s="23" t="s">
        <v>114</v>
      </c>
      <c r="B10" s="24">
        <v>8.6</v>
      </c>
      <c r="C10" s="23"/>
      <c r="D10" s="26"/>
    </row>
    <row r="11" spans="1:7" x14ac:dyDescent="0.2">
      <c r="A11" s="23" t="s">
        <v>117</v>
      </c>
      <c r="B11" s="24">
        <v>4.3</v>
      </c>
      <c r="C11" s="23"/>
      <c r="D11" s="26"/>
    </row>
    <row r="12" spans="1:7" x14ac:dyDescent="0.2">
      <c r="A12" s="23" t="s">
        <v>118</v>
      </c>
      <c r="B12" s="24">
        <v>9.8800000000000008</v>
      </c>
      <c r="C12" s="23"/>
      <c r="D12" s="26"/>
    </row>
    <row r="13" spans="1:7" x14ac:dyDescent="0.2">
      <c r="A13" s="23" t="s">
        <v>119</v>
      </c>
      <c r="B13" s="24">
        <v>600</v>
      </c>
      <c r="C13" s="23"/>
      <c r="D13" s="26"/>
    </row>
    <row r="14" spans="1:7" x14ac:dyDescent="0.2">
      <c r="A14" s="23" t="s">
        <v>120</v>
      </c>
      <c r="B14" s="24">
        <v>35</v>
      </c>
      <c r="C14" s="23"/>
      <c r="D14" s="26"/>
    </row>
    <row r="15" spans="1:7" x14ac:dyDescent="0.2">
      <c r="A15" s="23"/>
      <c r="C15" s="23"/>
      <c r="D15" s="26"/>
    </row>
    <row r="16" spans="1:7" x14ac:dyDescent="0.2">
      <c r="A16" s="23"/>
      <c r="B16" s="27"/>
      <c r="C16" s="23"/>
      <c r="D16" s="26"/>
    </row>
    <row r="17" spans="1:7" x14ac:dyDescent="0.2">
      <c r="A17" s="28" t="s">
        <v>10</v>
      </c>
      <c r="B17" s="28"/>
      <c r="C17" s="28"/>
      <c r="D17" s="28"/>
      <c r="E17" s="28"/>
      <c r="F17" s="28"/>
      <c r="G17" s="28"/>
    </row>
    <row r="18" spans="1:7" x14ac:dyDescent="0.2">
      <c r="A18" s="28"/>
      <c r="B18" s="28"/>
      <c r="C18" s="28"/>
      <c r="D18" s="28"/>
      <c r="E18" s="28"/>
      <c r="F18" s="28"/>
      <c r="G18" s="28"/>
    </row>
    <row r="19" spans="1:7" x14ac:dyDescent="0.2">
      <c r="A19" s="29" t="s">
        <v>121</v>
      </c>
      <c r="B19" s="24" t="s">
        <v>122</v>
      </c>
      <c r="C19" s="29"/>
      <c r="D19" s="29"/>
      <c r="E19" s="29"/>
      <c r="F19" s="29"/>
    </row>
    <row r="20" spans="1:7" x14ac:dyDescent="0.2">
      <c r="A20" s="29" t="s">
        <v>123</v>
      </c>
      <c r="B20" s="24" t="s">
        <v>124</v>
      </c>
      <c r="C20" s="29"/>
      <c r="D20" s="29"/>
      <c r="E20" s="29"/>
      <c r="F20" s="29"/>
    </row>
    <row r="21" spans="1:7" x14ac:dyDescent="0.2">
      <c r="A21" s="29"/>
      <c r="B21" s="24" t="s">
        <v>125</v>
      </c>
      <c r="C21" s="29"/>
      <c r="D21" s="29"/>
      <c r="E21" s="29"/>
      <c r="F21" s="29"/>
    </row>
    <row r="22" spans="1:7" x14ac:dyDescent="0.2">
      <c r="A22" s="29" t="s">
        <v>126</v>
      </c>
      <c r="B22" s="24" t="s">
        <v>127</v>
      </c>
      <c r="C22" s="29"/>
      <c r="D22" s="29"/>
      <c r="E22" s="29"/>
      <c r="F22" s="29"/>
    </row>
    <row r="23" spans="1:7" x14ac:dyDescent="0.2">
      <c r="A23" s="29"/>
      <c r="B23" s="24" t="s">
        <v>128</v>
      </c>
      <c r="C23" s="29"/>
      <c r="D23" s="29"/>
      <c r="E23" s="29"/>
      <c r="F23" s="29"/>
    </row>
    <row r="24" spans="1:7" x14ac:dyDescent="0.2">
      <c r="A24" s="29" t="s">
        <v>132</v>
      </c>
      <c r="B24" s="24" t="s">
        <v>133</v>
      </c>
      <c r="C24" s="29"/>
      <c r="D24" s="29"/>
      <c r="E24" s="29"/>
      <c r="F24" s="29"/>
    </row>
    <row r="25" spans="1:7" x14ac:dyDescent="0.2">
      <c r="A25" s="29">
        <v>20</v>
      </c>
      <c r="B25" s="24" t="s">
        <v>135</v>
      </c>
      <c r="C25" s="29"/>
      <c r="D25" s="29"/>
      <c r="E25" s="29"/>
      <c r="F25" s="29"/>
    </row>
    <row r="26" spans="1:7" x14ac:dyDescent="0.2">
      <c r="A26" s="29" t="s">
        <v>136</v>
      </c>
      <c r="B26" s="24" t="s">
        <v>137</v>
      </c>
      <c r="C26" s="29"/>
      <c r="D26" s="29"/>
      <c r="E26" s="29"/>
      <c r="F26" s="29"/>
    </row>
    <row r="27" spans="1:7" x14ac:dyDescent="0.2">
      <c r="A27" s="29"/>
      <c r="C27" s="29"/>
      <c r="D27" s="29"/>
      <c r="E27" s="29"/>
      <c r="F27" s="29"/>
    </row>
    <row r="28" spans="1:7" x14ac:dyDescent="0.2">
      <c r="A28" s="29"/>
      <c r="C28" s="29"/>
      <c r="D28" s="29"/>
      <c r="E28" s="29"/>
      <c r="F28" s="29"/>
    </row>
    <row r="29" spans="1:7" x14ac:dyDescent="0.2">
      <c r="A29" s="25" t="s">
        <v>14</v>
      </c>
      <c r="B29" s="25"/>
      <c r="C29" s="25"/>
      <c r="D29" s="25"/>
      <c r="E29" s="25"/>
      <c r="F29" s="25"/>
      <c r="G29" s="25"/>
    </row>
    <row r="31" spans="1:7" s="29" customFormat="1" x14ac:dyDescent="0.2">
      <c r="A31" s="29" t="s">
        <v>25</v>
      </c>
      <c r="B31" s="29" t="s">
        <v>38</v>
      </c>
      <c r="C31" s="29" t="s">
        <v>2</v>
      </c>
      <c r="D31" s="30" t="s">
        <v>9</v>
      </c>
      <c r="E31" s="30" t="s">
        <v>3</v>
      </c>
      <c r="F31" s="30" t="s">
        <v>4</v>
      </c>
      <c r="G31" s="30" t="s">
        <v>16</v>
      </c>
    </row>
    <row r="32" spans="1:7" x14ac:dyDescent="0.2">
      <c r="A32" s="24" t="str">
        <f>MatP8815C0Colour</f>
        <v>Not Specified</v>
      </c>
      <c r="B32" s="24" t="str">
        <f>IF(MatP8815C0Code=0,"",MatP8815C0Code)</f>
        <v/>
      </c>
      <c r="C32" s="24" t="str">
        <f>MatP8815C0Desc</f>
        <v>TLE Tile</v>
      </c>
      <c r="D32" s="31">
        <v>464</v>
      </c>
      <c r="E32" s="32">
        <f>MatP8815C0Price</f>
        <v>1.2</v>
      </c>
      <c r="F32" s="33" t="str">
        <f>MatP8815C0PerText</f>
        <v>Each</v>
      </c>
      <c r="G32" s="32">
        <f t="shared" ref="G32:G45" si="0">D32 * E32</f>
        <v>556.79999999999995</v>
      </c>
    </row>
    <row r="33" spans="1:7" x14ac:dyDescent="0.2">
      <c r="A33" s="24" t="str">
        <f>MatP8870C0Colour</f>
        <v>Not Specified</v>
      </c>
      <c r="B33" s="24" t="str">
        <f>IF(MatP8870C0Code=0,"",MatP8870C0Code)</f>
        <v/>
      </c>
      <c r="C33" s="24" t="str">
        <f>MatP8870C0Desc</f>
        <v>Ridge Tile (450mm)</v>
      </c>
      <c r="D33" s="31">
        <v>10</v>
      </c>
      <c r="E33" s="32">
        <f>MatP8870C0Price</f>
        <v>3.64</v>
      </c>
      <c r="F33" s="33" t="str">
        <f>MatP8870C0PerText</f>
        <v>Each</v>
      </c>
      <c r="G33" s="32">
        <f t="shared" si="0"/>
        <v>36.4</v>
      </c>
    </row>
    <row r="34" spans="1:7" x14ac:dyDescent="0.2">
      <c r="A34" s="24" t="str">
        <f>MatP10135C0Colour</f>
        <v>Not Specified</v>
      </c>
      <c r="B34" s="24" t="str">
        <f>IF(MatP10135C0Code=0,"",MatP10135C0Code)</f>
        <v/>
      </c>
      <c r="C34" s="24" t="str">
        <f>MatP10135C0Desc</f>
        <v>VP300 Vapour Permeable Underlay (50m x 1m)</v>
      </c>
      <c r="D34" s="31">
        <v>2</v>
      </c>
      <c r="E34" s="32">
        <f>MatP10135C0Price</f>
        <v>35</v>
      </c>
      <c r="F34" s="33" t="str">
        <f>MatP10135C0PerText</f>
        <v>Roll</v>
      </c>
      <c r="G34" s="32">
        <f t="shared" si="0"/>
        <v>70</v>
      </c>
    </row>
    <row r="35" spans="1:7" x14ac:dyDescent="0.2">
      <c r="A35" s="24" t="str">
        <f>MatP9008C0Colour</f>
        <v>Not Specified</v>
      </c>
      <c r="B35" s="24" t="str">
        <f>IF(MatP9008C0Code=0,"",MatP9008C0Code)</f>
        <v/>
      </c>
      <c r="C35" s="24" t="str">
        <f>MatP9008C0Desc</f>
        <v>Battens (50mm x 25mm)</v>
      </c>
      <c r="D35" s="31">
        <v>145</v>
      </c>
      <c r="E35" s="32">
        <f>MatP9008C0Price</f>
        <v>0.9</v>
      </c>
      <c r="F35" s="33" t="str">
        <f>MatP9008C0PerText</f>
        <v>Metre</v>
      </c>
      <c r="G35" s="32">
        <f t="shared" si="0"/>
        <v>130.5</v>
      </c>
    </row>
    <row r="36" spans="1:7" x14ac:dyDescent="0.2">
      <c r="A36" s="24" t="str">
        <f>MatP8879C15Colour</f>
        <v>Not Specified</v>
      </c>
      <c r="B36" s="24" t="str">
        <f>IF(MatP8879C15Code=0,"",MatP8879C15Code)</f>
        <v/>
      </c>
      <c r="C36" s="24" t="str">
        <f>MatP8879C15Desc</f>
        <v>Universal Dry Ridge/Hip System (6m)</v>
      </c>
      <c r="D36" s="31">
        <v>1</v>
      </c>
      <c r="E36" s="32">
        <f>MatP8879C15Price</f>
        <v>28.09</v>
      </c>
      <c r="F36" s="33" t="str">
        <f>MatP8879C15PerText</f>
        <v>Pack</v>
      </c>
      <c r="G36" s="32">
        <f t="shared" si="0"/>
        <v>28.09</v>
      </c>
    </row>
    <row r="37" spans="1:7" x14ac:dyDescent="0.2">
      <c r="A37" s="24" t="str">
        <f>MatP8624C0Colour</f>
        <v>Not Specified</v>
      </c>
      <c r="B37" s="24" t="str">
        <f>IF(MatP8624C0Code=0,"",MatP8624C0Code)</f>
        <v/>
      </c>
      <c r="C37" s="24" t="str">
        <f>MatP8624C0Desc</f>
        <v>Generic Party Wall Insulation (1m)</v>
      </c>
      <c r="D37" s="31">
        <v>10</v>
      </c>
      <c r="E37" s="32">
        <f>MatP8624C0Price</f>
        <v>5</v>
      </c>
      <c r="F37" s="33" t="str">
        <f>MatP8624C0PerText</f>
        <v>Each</v>
      </c>
      <c r="G37" s="32">
        <f t="shared" si="0"/>
        <v>50</v>
      </c>
    </row>
    <row r="38" spans="1:7" x14ac:dyDescent="0.2">
      <c r="A38" s="24" t="str">
        <f>MatP8820C20Colour</f>
        <v>Not Specified</v>
      </c>
      <c r="B38" s="24" t="str">
        <f>IF(MatP8820C20Code=0,"",MatP8820C20Code)</f>
        <v/>
      </c>
      <c r="C38" s="24" t="str">
        <f>MatP8820C20Desc</f>
        <v>10mm Over Fascia Vent (1m)</v>
      </c>
      <c r="D38" s="31">
        <v>9</v>
      </c>
      <c r="E38" s="32">
        <f>MatP8820C20Price</f>
        <v>1.7</v>
      </c>
      <c r="F38" s="33" t="str">
        <f>MatP8820C20PerText</f>
        <v>Each</v>
      </c>
      <c r="G38" s="32">
        <f t="shared" si="0"/>
        <v>15.299999999999999</v>
      </c>
    </row>
    <row r="39" spans="1:7" x14ac:dyDescent="0.2">
      <c r="A39" s="24" t="str">
        <f>MatP8281C0Colour</f>
        <v>Not Specified</v>
      </c>
      <c r="B39" s="24" t="str">
        <f>IF(MatP8281C0Code=0,"",MatP8281C0Code)</f>
        <v/>
      </c>
      <c r="C39" s="24" t="str">
        <f>MatP8281C0Desc</f>
        <v>Generic Eave Insulation (1m)</v>
      </c>
      <c r="D39" s="31">
        <v>9</v>
      </c>
      <c r="E39" s="32">
        <f>MatP8281C0Price</f>
        <v>5</v>
      </c>
      <c r="F39" s="33" t="str">
        <f>MatP8281C0PerText</f>
        <v>Each</v>
      </c>
      <c r="G39" s="32">
        <f t="shared" si="0"/>
        <v>45</v>
      </c>
    </row>
    <row r="40" spans="1:7" x14ac:dyDescent="0.2">
      <c r="A40" s="24" t="str">
        <f>MatP8866C20Colour</f>
        <v>Not Specified</v>
      </c>
      <c r="B40" s="24" t="str">
        <f>IF(MatP8866C20Code=0,"",MatP8866C20Code)</f>
        <v/>
      </c>
      <c r="C40" s="24" t="str">
        <f>MatP8866C20Desc</f>
        <v>Rafter Roll (6m x 600mm)</v>
      </c>
      <c r="D40" s="31">
        <v>2</v>
      </c>
      <c r="E40" s="32">
        <f>MatP8866C20Price</f>
        <v>9.5</v>
      </c>
      <c r="F40" s="33" t="str">
        <f>MatP8866C20PerText</f>
        <v>Each</v>
      </c>
      <c r="G40" s="32">
        <f t="shared" si="0"/>
        <v>19</v>
      </c>
    </row>
    <row r="41" spans="1:7" x14ac:dyDescent="0.2">
      <c r="A41" s="24" t="str">
        <f>MatP8874C20Colour</f>
        <v>Not Specified</v>
      </c>
      <c r="B41" s="24" t="str">
        <f>IF(MatP8874C20Code=0,"",MatP8874C20Code)</f>
        <v/>
      </c>
      <c r="C41" s="24" t="str">
        <f>MatP8874C20Desc</f>
        <v>Underlay Support Tray (1.5m)</v>
      </c>
      <c r="D41" s="31">
        <v>6</v>
      </c>
      <c r="E41" s="32">
        <f>MatP8874C20Price</f>
        <v>1.5</v>
      </c>
      <c r="F41" s="33" t="str">
        <f>MatP8874C20PerText</f>
        <v>Each</v>
      </c>
      <c r="G41" s="32">
        <f t="shared" si="0"/>
        <v>9</v>
      </c>
    </row>
    <row r="42" spans="1:7" x14ac:dyDescent="0.2">
      <c r="A42" s="24" t="str">
        <f>MatP8872C539Colour</f>
        <v>Not Specified</v>
      </c>
      <c r="B42" s="24" t="str">
        <f>IF(MatP8872C539Code=0,"",MatP8872C539Code)</f>
        <v/>
      </c>
      <c r="C42" s="24" t="str">
        <f>MatP8872C539Desc</f>
        <v>Sidelock Tile Clips (TLE)</v>
      </c>
      <c r="D42" s="31">
        <v>195</v>
      </c>
      <c r="E42" s="32">
        <f>MatP8872C539Price</f>
        <v>7.0000000000000007E-2</v>
      </c>
      <c r="F42" s="33" t="str">
        <f>MatP8872C539PerText</f>
        <v>Each</v>
      </c>
      <c r="G42" s="32">
        <f t="shared" si="0"/>
        <v>13.650000000000002</v>
      </c>
    </row>
    <row r="43" spans="1:7" x14ac:dyDescent="0.2">
      <c r="A43" s="24" t="str">
        <f>MatP8831C539Colour</f>
        <v>Not Specified</v>
      </c>
      <c r="B43" s="24" t="str">
        <f>IF(MatP8831C539Code=0,"",MatP8831C539Code)</f>
        <v/>
      </c>
      <c r="C43" s="24" t="str">
        <f>MatP8831C539Desc</f>
        <v>Eave Clip</v>
      </c>
      <c r="D43" s="31">
        <v>30</v>
      </c>
      <c r="E43" s="32">
        <f>MatP8831C539Price</f>
        <v>0.1</v>
      </c>
      <c r="F43" s="33" t="str">
        <f>MatP8831C539PerText</f>
        <v>Each</v>
      </c>
      <c r="G43" s="32">
        <f t="shared" si="0"/>
        <v>3</v>
      </c>
    </row>
    <row r="44" spans="1:7" x14ac:dyDescent="0.2">
      <c r="A44" s="24" t="str">
        <f>MatP9318C0Colour</f>
        <v>Not Specified</v>
      </c>
      <c r="B44" s="24" t="str">
        <f>IF(MatP9318C0Code=0,"",MatP9318C0Code)</f>
        <v/>
      </c>
      <c r="C44" s="24" t="str">
        <f>MatP9318C0Desc</f>
        <v>45mm x 3.35mm Aluminium Nails</v>
      </c>
      <c r="D44" s="31">
        <v>2.0000000298023224</v>
      </c>
      <c r="E44" s="32">
        <f>MatP9318C0Price</f>
        <v>7.28</v>
      </c>
      <c r="F44" s="33" t="str">
        <f>MatP9318C0PerText</f>
        <v>Kg</v>
      </c>
      <c r="G44" s="32">
        <f t="shared" si="0"/>
        <v>14.560000216960907</v>
      </c>
    </row>
    <row r="45" spans="1:7" x14ac:dyDescent="0.2">
      <c r="A45" s="24" t="str">
        <f>MatP9100C0Colour</f>
        <v>Not Specified</v>
      </c>
      <c r="B45" s="24" t="str">
        <f>IF(MatP9100C0Code=0,"",MatP9100C0Code)</f>
        <v/>
      </c>
      <c r="C45" s="24" t="str">
        <f>MatP9100C0Desc</f>
        <v>Batten Nails - 65mm x 3.35mm Galvanised</v>
      </c>
      <c r="D45" s="31">
        <v>2</v>
      </c>
      <c r="E45" s="32">
        <f>MatP9100C0Price</f>
        <v>4.5</v>
      </c>
      <c r="F45" s="33" t="str">
        <f>MatP9100C0PerText</f>
        <v>Kg</v>
      </c>
      <c r="G45" s="32">
        <f t="shared" si="0"/>
        <v>9</v>
      </c>
    </row>
    <row r="46" spans="1:7" x14ac:dyDescent="0.2">
      <c r="D46" s="31"/>
      <c r="E46" s="32"/>
      <c r="F46" s="33"/>
      <c r="G46" s="32"/>
    </row>
    <row r="47" spans="1:7" x14ac:dyDescent="0.2">
      <c r="F47" s="34" t="s">
        <v>5</v>
      </c>
      <c r="G47" s="35">
        <f>SUM(G32:G46)</f>
        <v>1000.3000002169608</v>
      </c>
    </row>
    <row r="48" spans="1:7" x14ac:dyDescent="0.2">
      <c r="G48" s="34"/>
    </row>
    <row r="49" spans="1:7" x14ac:dyDescent="0.2">
      <c r="A49" s="25" t="s">
        <v>15</v>
      </c>
      <c r="B49" s="25"/>
      <c r="D49" s="25"/>
      <c r="E49" s="25"/>
      <c r="F49" s="25"/>
      <c r="G49" s="25"/>
    </row>
    <row r="51" spans="1:7" x14ac:dyDescent="0.2">
      <c r="A51" s="102" t="s">
        <v>6</v>
      </c>
      <c r="B51" s="102"/>
      <c r="C51" s="102"/>
      <c r="D51" s="34" t="s">
        <v>7</v>
      </c>
      <c r="E51" s="34" t="s">
        <v>9</v>
      </c>
      <c r="F51" s="34" t="s">
        <v>8</v>
      </c>
      <c r="G51" s="34" t="s">
        <v>16</v>
      </c>
    </row>
    <row r="52" spans="1:7" x14ac:dyDescent="0.2">
      <c r="A52" s="103" t="str">
        <f>LabP8815R6L1G1Desc</f>
        <v>Main Area</v>
      </c>
      <c r="B52" s="103"/>
      <c r="C52" s="103"/>
      <c r="D52" s="36">
        <f>LabP8815R6L1G1Rate</f>
        <v>9</v>
      </c>
      <c r="E52" s="37">
        <f>'ALN-MID-Main Roof'!Area</f>
        <v>42.48</v>
      </c>
      <c r="F52" s="27" t="str">
        <f xml:space="preserve"> "" &amp; LabP8815R6L1G1Per</f>
        <v>m²</v>
      </c>
      <c r="G52" s="36">
        <f>D52 * E52</f>
        <v>382.32</v>
      </c>
    </row>
    <row r="53" spans="1:7" x14ac:dyDescent="0.2">
      <c r="A53" s="24" t="str">
        <f>LabP8815R0L1G2Desc</f>
        <v>Eave</v>
      </c>
      <c r="D53" s="36">
        <f>LabP8815R0L1G2Rate</f>
        <v>2.5</v>
      </c>
      <c r="E53" s="37">
        <f>'ALN-MID-Main Roof'!Eave</f>
        <v>8.6</v>
      </c>
      <c r="F53" s="27" t="str">
        <f xml:space="preserve"> "" &amp; LabP8815R0L1G2Per</f>
        <v>m</v>
      </c>
      <c r="G53" s="36">
        <f>D53 * E53</f>
        <v>21.5</v>
      </c>
    </row>
    <row r="54" spans="1:7" x14ac:dyDescent="0.2">
      <c r="A54" s="24" t="str">
        <f>LabP8815R0L1G8Desc</f>
        <v>Duo Ridge</v>
      </c>
      <c r="D54" s="36">
        <f>LabP8815R0L1G8Rate</f>
        <v>2.5</v>
      </c>
      <c r="E54" s="37">
        <f>'ALN-MID-Main Roof'!DuoRidge</f>
        <v>4.3</v>
      </c>
      <c r="F54" s="27" t="str">
        <f xml:space="preserve"> "" &amp; LabP8815R0L1G8Per</f>
        <v>m</v>
      </c>
      <c r="G54" s="36">
        <f>D54 * E54</f>
        <v>10.75</v>
      </c>
    </row>
    <row r="55" spans="1:7" x14ac:dyDescent="0.2">
      <c r="A55" s="24" t="str">
        <f>LabP8815R0L1G241Desc</f>
        <v>Party Wall Insulation</v>
      </c>
      <c r="D55" s="36">
        <f>LabP8815R0L1G241Rate</f>
        <v>1.5</v>
      </c>
      <c r="E55" s="37">
        <v>9.8800000000000008</v>
      </c>
      <c r="F55" s="27" t="str">
        <f xml:space="preserve"> "" &amp; LabP8815R0L1G241Per</f>
        <v>m</v>
      </c>
      <c r="G55" s="36">
        <f>D55 * E55</f>
        <v>14.82</v>
      </c>
    </row>
    <row r="56" spans="1:7" x14ac:dyDescent="0.2">
      <c r="D56" s="36"/>
      <c r="E56" s="37"/>
      <c r="F56" s="27"/>
      <c r="G56" s="36"/>
    </row>
    <row r="57" spans="1:7" x14ac:dyDescent="0.2">
      <c r="A57" s="103"/>
      <c r="B57" s="103"/>
      <c r="C57" s="103"/>
      <c r="D57" s="36"/>
      <c r="E57" s="37"/>
      <c r="G57" s="36"/>
    </row>
    <row r="58" spans="1:7" x14ac:dyDescent="0.2">
      <c r="F58" s="34" t="s">
        <v>5</v>
      </c>
      <c r="G58" s="35">
        <f>SUM(G52:G57)</f>
        <v>429.39</v>
      </c>
    </row>
    <row r="62" spans="1:7" x14ac:dyDescent="0.2">
      <c r="A62" s="34"/>
      <c r="B62" s="38"/>
    </row>
    <row r="64" spans="1:7" x14ac:dyDescent="0.2">
      <c r="A64" s="34"/>
      <c r="B64" s="38"/>
    </row>
    <row r="66" spans="1:3" x14ac:dyDescent="0.2">
      <c r="A66" s="34"/>
      <c r="B66" s="38"/>
    </row>
    <row r="68" spans="1:3" x14ac:dyDescent="0.2">
      <c r="A68" s="34"/>
      <c r="B68" s="38"/>
    </row>
    <row r="71" spans="1:3" x14ac:dyDescent="0.2">
      <c r="A71" s="34"/>
      <c r="B71" s="38"/>
      <c r="C71" s="39"/>
    </row>
    <row r="73" spans="1:3" x14ac:dyDescent="0.2">
      <c r="A73" s="34"/>
      <c r="B73" s="38"/>
    </row>
    <row r="75" spans="1:3" x14ac:dyDescent="0.2">
      <c r="A75" s="34"/>
      <c r="B75" s="38"/>
      <c r="C75" s="39"/>
    </row>
    <row r="77" spans="1:3" x14ac:dyDescent="0.2">
      <c r="A77" s="34"/>
      <c r="B77" s="38"/>
    </row>
    <row r="79" spans="1:3" x14ac:dyDescent="0.2">
      <c r="A79" s="34"/>
      <c r="B79" s="38"/>
    </row>
    <row r="82" spans="1:3" x14ac:dyDescent="0.2">
      <c r="A82" s="34"/>
      <c r="B82" s="38"/>
    </row>
    <row r="84" spans="1:3" x14ac:dyDescent="0.2">
      <c r="A84" s="34"/>
      <c r="B84" s="38"/>
    </row>
    <row r="86" spans="1:3" x14ac:dyDescent="0.2">
      <c r="A86" s="34"/>
      <c r="B86" s="38"/>
      <c r="C86" s="39"/>
    </row>
    <row r="89" spans="1:3" x14ac:dyDescent="0.2">
      <c r="A89" s="34"/>
      <c r="B89" s="40"/>
      <c r="C89" s="23"/>
    </row>
    <row r="92" spans="1:3" x14ac:dyDescent="0.2">
      <c r="A92" s="39"/>
      <c r="B92" s="41"/>
    </row>
  </sheetData>
  <mergeCells count="5">
    <mergeCell ref="B4:F4"/>
    <mergeCell ref="B5:F5"/>
    <mergeCell ref="A51:C51"/>
    <mergeCell ref="A52:C52"/>
    <mergeCell ref="A57:C57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53316-E8DC-4AA1-AEAF-5C204529E643}">
  <dimension ref="A1:G97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147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145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3.75</v>
      </c>
      <c r="C9" s="23"/>
      <c r="D9" s="26"/>
    </row>
    <row r="10" spans="1:7" x14ac:dyDescent="0.2">
      <c r="A10" s="23" t="s">
        <v>114</v>
      </c>
      <c r="B10" s="24">
        <v>2.8</v>
      </c>
      <c r="C10" s="23"/>
      <c r="D10" s="26"/>
    </row>
    <row r="11" spans="1:7" x14ac:dyDescent="0.2">
      <c r="A11" s="23" t="s">
        <v>141</v>
      </c>
      <c r="B11" s="24">
        <v>2.8</v>
      </c>
      <c r="C11" s="23"/>
      <c r="D11" s="26"/>
    </row>
    <row r="12" spans="1:7" x14ac:dyDescent="0.2">
      <c r="A12" s="23" t="s">
        <v>115</v>
      </c>
      <c r="B12" s="24">
        <v>1.34</v>
      </c>
      <c r="C12" s="23"/>
      <c r="D12" s="26"/>
    </row>
    <row r="13" spans="1:7" x14ac:dyDescent="0.2">
      <c r="A13" s="23" t="s">
        <v>116</v>
      </c>
      <c r="B13" s="24">
        <v>1.34</v>
      </c>
      <c r="C13" s="23"/>
      <c r="D13" s="26"/>
    </row>
    <row r="14" spans="1:7" x14ac:dyDescent="0.2">
      <c r="A14" s="23" t="s">
        <v>119</v>
      </c>
      <c r="B14" s="24">
        <v>600</v>
      </c>
      <c r="C14" s="23"/>
      <c r="D14" s="26"/>
    </row>
    <row r="15" spans="1:7" x14ac:dyDescent="0.2">
      <c r="A15" s="23" t="s">
        <v>120</v>
      </c>
      <c r="B15" s="24">
        <v>35</v>
      </c>
      <c r="C15" s="23"/>
      <c r="D15" s="26"/>
    </row>
    <row r="16" spans="1:7" x14ac:dyDescent="0.2">
      <c r="A16" s="23"/>
      <c r="C16" s="23"/>
      <c r="D16" s="26"/>
    </row>
    <row r="17" spans="1:7" x14ac:dyDescent="0.2">
      <c r="A17" s="23"/>
      <c r="B17" s="27"/>
      <c r="C17" s="23"/>
      <c r="D17" s="26"/>
    </row>
    <row r="18" spans="1:7" x14ac:dyDescent="0.2">
      <c r="A18" s="28" t="s">
        <v>10</v>
      </c>
      <c r="B18" s="28"/>
      <c r="C18" s="28"/>
      <c r="D18" s="28"/>
      <c r="E18" s="28"/>
      <c r="F18" s="28"/>
      <c r="G18" s="28"/>
    </row>
    <row r="19" spans="1:7" x14ac:dyDescent="0.2">
      <c r="A19" s="28"/>
      <c r="B19" s="28"/>
      <c r="C19" s="28"/>
      <c r="D19" s="28"/>
      <c r="E19" s="28"/>
      <c r="F19" s="28"/>
      <c r="G19" s="28"/>
    </row>
    <row r="20" spans="1:7" x14ac:dyDescent="0.2">
      <c r="A20" s="29" t="s">
        <v>121</v>
      </c>
      <c r="B20" s="24" t="s">
        <v>122</v>
      </c>
      <c r="C20" s="29"/>
      <c r="D20" s="29"/>
      <c r="E20" s="29"/>
      <c r="F20" s="29"/>
    </row>
    <row r="21" spans="1:7" x14ac:dyDescent="0.2">
      <c r="A21" s="29" t="s">
        <v>123</v>
      </c>
      <c r="B21" s="24" t="s">
        <v>124</v>
      </c>
      <c r="C21" s="29"/>
      <c r="D21" s="29"/>
      <c r="E21" s="29"/>
      <c r="F21" s="29"/>
    </row>
    <row r="22" spans="1:7" x14ac:dyDescent="0.2">
      <c r="A22" s="29"/>
      <c r="B22" s="24" t="s">
        <v>125</v>
      </c>
      <c r="C22" s="29"/>
      <c r="D22" s="29"/>
      <c r="E22" s="29"/>
      <c r="F22" s="29"/>
    </row>
    <row r="23" spans="1:7" x14ac:dyDescent="0.2">
      <c r="A23" s="29" t="s">
        <v>126</v>
      </c>
      <c r="B23" s="24" t="s">
        <v>127</v>
      </c>
      <c r="C23" s="29"/>
      <c r="D23" s="29"/>
      <c r="E23" s="29"/>
      <c r="F23" s="29"/>
    </row>
    <row r="24" spans="1:7" x14ac:dyDescent="0.2">
      <c r="A24" s="29"/>
      <c r="B24" s="24" t="s">
        <v>142</v>
      </c>
      <c r="C24" s="29"/>
      <c r="D24" s="29"/>
      <c r="E24" s="29"/>
      <c r="F24" s="29"/>
    </row>
    <row r="25" spans="1:7" x14ac:dyDescent="0.2">
      <c r="A25" s="29">
        <v>20</v>
      </c>
      <c r="B25" s="24" t="s">
        <v>130</v>
      </c>
      <c r="C25" s="29"/>
      <c r="D25" s="29"/>
      <c r="E25" s="29"/>
      <c r="F25" s="29"/>
    </row>
    <row r="26" spans="1:7" x14ac:dyDescent="0.2">
      <c r="A26" s="29" t="s">
        <v>134</v>
      </c>
      <c r="B26" s="24" t="s">
        <v>135</v>
      </c>
      <c r="C26" s="29"/>
      <c r="D26" s="29"/>
      <c r="E26" s="29"/>
      <c r="F26" s="29"/>
    </row>
    <row r="27" spans="1:7" x14ac:dyDescent="0.2">
      <c r="A27" s="29" t="s">
        <v>136</v>
      </c>
      <c r="B27" s="24" t="s">
        <v>137</v>
      </c>
      <c r="C27" s="29"/>
      <c r="D27" s="29"/>
      <c r="E27" s="29"/>
      <c r="F27" s="29"/>
    </row>
    <row r="28" spans="1:7" x14ac:dyDescent="0.2">
      <c r="A28" s="29" t="s">
        <v>143</v>
      </c>
      <c r="B28" s="24" t="s">
        <v>144</v>
      </c>
      <c r="C28" s="29"/>
      <c r="D28" s="29"/>
      <c r="E28" s="29"/>
      <c r="F28" s="29"/>
    </row>
    <row r="29" spans="1:7" x14ac:dyDescent="0.2">
      <c r="A29" s="29"/>
      <c r="C29" s="29"/>
      <c r="D29" s="29"/>
      <c r="E29" s="29"/>
      <c r="F29" s="29"/>
    </row>
    <row r="30" spans="1:7" x14ac:dyDescent="0.2">
      <c r="A30" s="29"/>
      <c r="C30" s="29"/>
      <c r="D30" s="29"/>
      <c r="E30" s="29"/>
      <c r="F30" s="29"/>
    </row>
    <row r="31" spans="1:7" x14ac:dyDescent="0.2">
      <c r="A31" s="25" t="s">
        <v>14</v>
      </c>
      <c r="B31" s="25"/>
      <c r="C31" s="25"/>
      <c r="D31" s="25"/>
      <c r="E31" s="25"/>
      <c r="F31" s="25"/>
      <c r="G31" s="25"/>
    </row>
    <row r="33" spans="1:7" s="29" customFormat="1" x14ac:dyDescent="0.2">
      <c r="A33" s="29" t="s">
        <v>25</v>
      </c>
      <c r="B33" s="29" t="s">
        <v>38</v>
      </c>
      <c r="C33" s="29" t="s">
        <v>2</v>
      </c>
      <c r="D33" s="30" t="s">
        <v>9</v>
      </c>
      <c r="E33" s="30" t="s">
        <v>3</v>
      </c>
      <c r="F33" s="30" t="s">
        <v>4</v>
      </c>
      <c r="G33" s="30" t="s">
        <v>16</v>
      </c>
    </row>
    <row r="34" spans="1:7" x14ac:dyDescent="0.2">
      <c r="A34" s="24" t="str">
        <f>MatP8815C0Colour</f>
        <v>Not Specified</v>
      </c>
      <c r="B34" s="24" t="str">
        <f>IF(MatP8815C0Code=0,"",MatP8815C0Code)</f>
        <v/>
      </c>
      <c r="C34" s="24" t="str">
        <f>MatP8815C0Desc</f>
        <v>TLE Tile</v>
      </c>
      <c r="D34" s="31">
        <v>41</v>
      </c>
      <c r="E34" s="32">
        <f>MatP8815C0Price</f>
        <v>1.2</v>
      </c>
      <c r="F34" s="33" t="str">
        <f>MatP8815C0PerText</f>
        <v>Each</v>
      </c>
      <c r="G34" s="32">
        <f t="shared" ref="G34:G49" si="0">D34 * E34</f>
        <v>49.199999999999996</v>
      </c>
    </row>
    <row r="35" spans="1:7" x14ac:dyDescent="0.2">
      <c r="A35" s="24" t="str">
        <f>MatP10135C0Colour</f>
        <v>Not Specified</v>
      </c>
      <c r="B35" s="24" t="str">
        <f>IF(MatP10135C0Code=0,"",MatP10135C0Code)</f>
        <v/>
      </c>
      <c r="C35" s="24" t="str">
        <f>MatP10135C0Desc</f>
        <v>VP300 Vapour Permeable Underlay (50m x 1m)</v>
      </c>
      <c r="D35" s="31">
        <v>0.25</v>
      </c>
      <c r="E35" s="32">
        <f>MatP10135C0Price</f>
        <v>35</v>
      </c>
      <c r="F35" s="33" t="str">
        <f>MatP10135C0PerText</f>
        <v>Roll</v>
      </c>
      <c r="G35" s="32">
        <f t="shared" si="0"/>
        <v>8.75</v>
      </c>
    </row>
    <row r="36" spans="1:7" x14ac:dyDescent="0.2">
      <c r="A36" s="24" t="str">
        <f>MatP9008C0Colour</f>
        <v>Not Specified</v>
      </c>
      <c r="B36" s="24" t="str">
        <f>IF(MatP9008C0Code=0,"",MatP9008C0Code)</f>
        <v/>
      </c>
      <c r="C36" s="24" t="str">
        <f>MatP9008C0Desc</f>
        <v>Battens (50mm x 25mm)</v>
      </c>
      <c r="D36" s="31">
        <v>12</v>
      </c>
      <c r="E36" s="32">
        <f>MatP9008C0Price</f>
        <v>0.9</v>
      </c>
      <c r="F36" s="33" t="str">
        <f>MatP9008C0PerText</f>
        <v>Metre</v>
      </c>
      <c r="G36" s="32">
        <f t="shared" si="0"/>
        <v>10.8</v>
      </c>
    </row>
    <row r="37" spans="1:7" x14ac:dyDescent="0.2">
      <c r="A37" s="24" t="str">
        <f>MatP8857C0Colour</f>
        <v>Not Specified</v>
      </c>
      <c r="B37" s="24" t="str">
        <f>IF(MatP8857C0Code=0,"",MatP8857C0Code)</f>
        <v/>
      </c>
      <c r="C37" s="24" t="str">
        <f>MatP8857C0Desc</f>
        <v>LH Uni-Fix Dry Verge Unit</v>
      </c>
      <c r="D37" s="31">
        <v>8</v>
      </c>
      <c r="E37" s="32">
        <f>MatP8857C0Price</f>
        <v>1.1000000000000001</v>
      </c>
      <c r="F37" s="33" t="str">
        <f>MatP8857C0PerText</f>
        <v>Each</v>
      </c>
      <c r="G37" s="32">
        <f t="shared" si="0"/>
        <v>8.8000000000000007</v>
      </c>
    </row>
    <row r="38" spans="1:7" x14ac:dyDescent="0.2">
      <c r="A38" s="24" t="str">
        <f>MatP8869C0Colour</f>
        <v>Not Specified</v>
      </c>
      <c r="B38" s="24" t="str">
        <f>IF(MatP8869C0Code=0,"",MatP8869C0Code)</f>
        <v/>
      </c>
      <c r="C38" s="24" t="str">
        <f>MatP8869C0Desc</f>
        <v>RH Uni-Fix Dry Verge Unit</v>
      </c>
      <c r="D38" s="31">
        <v>8</v>
      </c>
      <c r="E38" s="32">
        <f>MatP8869C0Price</f>
        <v>1.1000000000000001</v>
      </c>
      <c r="F38" s="33" t="str">
        <f>MatP8869C0PerText</f>
        <v>Each</v>
      </c>
      <c r="G38" s="32">
        <f t="shared" si="0"/>
        <v>8.8000000000000007</v>
      </c>
    </row>
    <row r="39" spans="1:7" x14ac:dyDescent="0.2">
      <c r="A39" s="24" t="str">
        <f>MatP8830C20Colour</f>
        <v>Not Specified</v>
      </c>
      <c r="B39" s="24" t="str">
        <f>IF(MatP8830C20Code=0,"",MatP8830C20Code)</f>
        <v/>
      </c>
      <c r="C39" s="24" t="str">
        <f>MatP8830C20Desc</f>
        <v>Dry Verge Starter Unit</v>
      </c>
      <c r="D39" s="31">
        <v>2</v>
      </c>
      <c r="E39" s="32">
        <f>MatP8830C20Price</f>
        <v>1.51</v>
      </c>
      <c r="F39" s="33" t="str">
        <f>MatP8830C20PerText</f>
        <v>Each</v>
      </c>
      <c r="G39" s="32">
        <f t="shared" si="0"/>
        <v>3.02</v>
      </c>
    </row>
    <row r="40" spans="1:7" x14ac:dyDescent="0.2">
      <c r="A40" s="24" t="str">
        <f>MatP8821C20Colour</f>
        <v>Not Specified</v>
      </c>
      <c r="B40" s="24" t="str">
        <f>IF(MatP8821C20Code=0,"",MatP8821C20Code)</f>
        <v/>
      </c>
      <c r="C40" s="24" t="str">
        <f>MatP8821C20Desc</f>
        <v>25mm Over Fascia Vent (1m)</v>
      </c>
      <c r="D40" s="31">
        <v>3</v>
      </c>
      <c r="E40" s="32">
        <f>MatP8821C20Price</f>
        <v>1.9</v>
      </c>
      <c r="F40" s="33" t="str">
        <f>MatP8821C20PerText</f>
        <v>Each</v>
      </c>
      <c r="G40" s="32">
        <f t="shared" si="0"/>
        <v>5.6999999999999993</v>
      </c>
    </row>
    <row r="41" spans="1:7" x14ac:dyDescent="0.2">
      <c r="A41" s="24" t="str">
        <f>MatP8281C0Colour</f>
        <v>Not Specified</v>
      </c>
      <c r="B41" s="24" t="str">
        <f>IF(MatP8281C0Code=0,"",MatP8281C0Code)</f>
        <v/>
      </c>
      <c r="C41" s="24" t="str">
        <f>MatP8281C0Desc</f>
        <v>Generic Eave Insulation (1m)</v>
      </c>
      <c r="D41" s="31">
        <v>3</v>
      </c>
      <c r="E41" s="32">
        <f>MatP8281C0Price</f>
        <v>5</v>
      </c>
      <c r="F41" s="33" t="str">
        <f>MatP8281C0PerText</f>
        <v>Each</v>
      </c>
      <c r="G41" s="32">
        <f t="shared" si="0"/>
        <v>15</v>
      </c>
    </row>
    <row r="42" spans="1:7" x14ac:dyDescent="0.2">
      <c r="A42" s="24" t="str">
        <f>MatP8866C20Colour</f>
        <v>Not Specified</v>
      </c>
      <c r="B42" s="24" t="str">
        <f>IF(MatP8866C20Code=0,"",MatP8866C20Code)</f>
        <v/>
      </c>
      <c r="C42" s="24" t="str">
        <f>MatP8866C20Desc</f>
        <v>Rafter Roll (6m x 600mm)</v>
      </c>
      <c r="D42" s="31">
        <v>1</v>
      </c>
      <c r="E42" s="32">
        <f>MatP8866C20Price</f>
        <v>9.5</v>
      </c>
      <c r="F42" s="33" t="str">
        <f>MatP8866C20PerText</f>
        <v>Each</v>
      </c>
      <c r="G42" s="32">
        <f t="shared" si="0"/>
        <v>9.5</v>
      </c>
    </row>
    <row r="43" spans="1:7" x14ac:dyDescent="0.2">
      <c r="A43" s="24" t="str">
        <f>MatP8874C20Colour</f>
        <v>Not Specified</v>
      </c>
      <c r="B43" s="24" t="str">
        <f>IF(MatP8874C20Code=0,"",MatP8874C20Code)</f>
        <v/>
      </c>
      <c r="C43" s="24" t="str">
        <f>MatP8874C20Desc</f>
        <v>Underlay Support Tray (1.5m)</v>
      </c>
      <c r="D43" s="31">
        <v>2</v>
      </c>
      <c r="E43" s="32">
        <f>MatP8874C20Price</f>
        <v>1.5</v>
      </c>
      <c r="F43" s="33" t="str">
        <f>MatP8874C20PerText</f>
        <v>Each</v>
      </c>
      <c r="G43" s="32">
        <f t="shared" si="0"/>
        <v>3</v>
      </c>
    </row>
    <row r="44" spans="1:7" x14ac:dyDescent="0.2">
      <c r="A44" s="24" t="str">
        <f>MatP8872C539Colour</f>
        <v>Not Specified</v>
      </c>
      <c r="B44" s="24" t="str">
        <f>IF(MatP8872C539Code=0,"",MatP8872C539Code)</f>
        <v/>
      </c>
      <c r="C44" s="24" t="str">
        <f>MatP8872C539Desc</f>
        <v>Sidelock Tile Clips (TLE)</v>
      </c>
      <c r="D44" s="31">
        <v>6</v>
      </c>
      <c r="E44" s="32">
        <f>MatP8872C539Price</f>
        <v>7.0000000000000007E-2</v>
      </c>
      <c r="F44" s="33" t="str">
        <f>MatP8872C539PerText</f>
        <v>Each</v>
      </c>
      <c r="G44" s="32">
        <f t="shared" si="0"/>
        <v>0.42000000000000004</v>
      </c>
    </row>
    <row r="45" spans="1:7" x14ac:dyDescent="0.2">
      <c r="A45" s="24" t="str">
        <f>MatP8826C539Colour</f>
        <v>Not Specified</v>
      </c>
      <c r="B45" s="24" t="str">
        <f>IF(MatP8826C539Code=0,"",MatP8826C539Code)</f>
        <v/>
      </c>
      <c r="C45" s="24" t="str">
        <f>MatP8826C539Desc</f>
        <v>Metal Batten End Clips</v>
      </c>
      <c r="D45" s="31">
        <v>8</v>
      </c>
      <c r="E45" s="32">
        <f>MatP8826C539Price</f>
        <v>0.28000000000000003</v>
      </c>
      <c r="F45" s="33" t="str">
        <f>MatP8826C539PerText</f>
        <v>Each</v>
      </c>
      <c r="G45" s="32">
        <f t="shared" si="0"/>
        <v>2.2400000000000002</v>
      </c>
    </row>
    <row r="46" spans="1:7" x14ac:dyDescent="0.2">
      <c r="A46" s="24" t="str">
        <f>MatP8831C539Colour</f>
        <v>Not Specified</v>
      </c>
      <c r="B46" s="24" t="str">
        <f>IF(MatP8831C539Code=0,"",MatP8831C539Code)</f>
        <v/>
      </c>
      <c r="C46" s="24" t="str">
        <f>MatP8831C539Desc</f>
        <v>Eave Clip</v>
      </c>
      <c r="D46" s="31">
        <v>10</v>
      </c>
      <c r="E46" s="32">
        <f>MatP8831C539Price</f>
        <v>0.1</v>
      </c>
      <c r="F46" s="33" t="str">
        <f>MatP8831C539PerText</f>
        <v>Each</v>
      </c>
      <c r="G46" s="32">
        <f t="shared" si="0"/>
        <v>1</v>
      </c>
    </row>
    <row r="47" spans="1:7" x14ac:dyDescent="0.2">
      <c r="A47" s="24" t="str">
        <f>MatP9318C0Colour</f>
        <v>Not Specified</v>
      </c>
      <c r="B47" s="24" t="str">
        <f>IF(MatP9318C0Code=0,"",MatP9318C0Code)</f>
        <v/>
      </c>
      <c r="C47" s="24" t="str">
        <f>MatP9318C0Desc</f>
        <v>45mm x 3.35mm Aluminium Nails</v>
      </c>
      <c r="D47" s="31">
        <v>1</v>
      </c>
      <c r="E47" s="32">
        <f>MatP9318C0Price</f>
        <v>7.28</v>
      </c>
      <c r="F47" s="33" t="str">
        <f>MatP9318C0PerText</f>
        <v>Kg</v>
      </c>
      <c r="G47" s="32">
        <f t="shared" si="0"/>
        <v>7.28</v>
      </c>
    </row>
    <row r="48" spans="1:7" x14ac:dyDescent="0.2">
      <c r="A48" s="24" t="str">
        <f>MatP9100C0Colour</f>
        <v>Not Specified</v>
      </c>
      <c r="B48" s="24" t="str">
        <f>IF(MatP9100C0Code=0,"",MatP9100C0Code)</f>
        <v/>
      </c>
      <c r="C48" s="24" t="str">
        <f>MatP9100C0Desc</f>
        <v>Batten Nails - 65mm x 3.35mm Galvanised</v>
      </c>
      <c r="D48" s="31">
        <v>1</v>
      </c>
      <c r="E48" s="32">
        <f>MatP9100C0Price</f>
        <v>4.5</v>
      </c>
      <c r="F48" s="33" t="str">
        <f>MatP9100C0PerText</f>
        <v>Kg</v>
      </c>
      <c r="G48" s="32">
        <f t="shared" si="0"/>
        <v>4.5</v>
      </c>
    </row>
    <row r="49" spans="1:7" x14ac:dyDescent="0.2">
      <c r="A49" s="24" t="str">
        <f>MatP9066C92Colour</f>
        <v>Not Specified</v>
      </c>
      <c r="B49" s="24" t="str">
        <f>IF(MatP9066C92Code=0,"",MatP9066C92Code)</f>
        <v/>
      </c>
      <c r="C49" s="24" t="str">
        <f>MatP9066C92Desc</f>
        <v>Lead Code 4 - 300mm (6m)</v>
      </c>
      <c r="D49" s="31">
        <v>3</v>
      </c>
      <c r="E49" s="32">
        <f>MatP9066C92Price</f>
        <v>15.21</v>
      </c>
      <c r="F49" s="33" t="str">
        <f>MatP9066C92PerText</f>
        <v>Metre</v>
      </c>
      <c r="G49" s="32">
        <f t="shared" si="0"/>
        <v>45.63</v>
      </c>
    </row>
    <row r="50" spans="1:7" x14ac:dyDescent="0.2">
      <c r="D50" s="31"/>
      <c r="E50" s="32"/>
      <c r="F50" s="33"/>
      <c r="G50" s="32"/>
    </row>
    <row r="51" spans="1:7" x14ac:dyDescent="0.2">
      <c r="F51" s="34" t="s">
        <v>5</v>
      </c>
      <c r="G51" s="35">
        <f>SUM(G34:G50)</f>
        <v>183.64</v>
      </c>
    </row>
    <row r="52" spans="1:7" x14ac:dyDescent="0.2">
      <c r="G52" s="34"/>
    </row>
    <row r="53" spans="1:7" x14ac:dyDescent="0.2">
      <c r="A53" s="25" t="s">
        <v>15</v>
      </c>
      <c r="B53" s="25"/>
      <c r="D53" s="25"/>
      <c r="E53" s="25"/>
      <c r="F53" s="25"/>
      <c r="G53" s="25"/>
    </row>
    <row r="55" spans="1:7" x14ac:dyDescent="0.2">
      <c r="A55" s="102" t="s">
        <v>6</v>
      </c>
      <c r="B55" s="102"/>
      <c r="C55" s="102"/>
      <c r="D55" s="34" t="s">
        <v>7</v>
      </c>
      <c r="E55" s="34" t="s">
        <v>9</v>
      </c>
      <c r="F55" s="34" t="s">
        <v>8</v>
      </c>
      <c r="G55" s="34" t="s">
        <v>16</v>
      </c>
    </row>
    <row r="56" spans="1:7" x14ac:dyDescent="0.2">
      <c r="A56" s="103" t="str">
        <f>LabP8815R6L1G1Desc</f>
        <v>Main Area</v>
      </c>
      <c r="B56" s="103"/>
      <c r="C56" s="103"/>
      <c r="D56" s="36">
        <f>LabP8815R6L1G1Rate</f>
        <v>9</v>
      </c>
      <c r="E56" s="37">
        <f>'ALN-MID-Porch (Lean to)'!Area</f>
        <v>3.75</v>
      </c>
      <c r="F56" s="27" t="str">
        <f xml:space="preserve"> "" &amp; LabP8815R6L1G1Per</f>
        <v>m²</v>
      </c>
      <c r="G56" s="36">
        <f>D56 * E56</f>
        <v>33.75</v>
      </c>
    </row>
    <row r="57" spans="1:7" x14ac:dyDescent="0.2">
      <c r="A57" s="24" t="str">
        <f>LabP8815R0L1G2Desc</f>
        <v>Eave</v>
      </c>
      <c r="D57" s="36">
        <f>LabP8815R0L1G2Rate</f>
        <v>2.5</v>
      </c>
      <c r="E57" s="37">
        <f>'ALN-MID-Porch (Lean to)'!Eave</f>
        <v>2.8</v>
      </c>
      <c r="F57" s="27" t="str">
        <f xml:space="preserve"> "" &amp; LabP8815R0L1G2Per</f>
        <v>m</v>
      </c>
      <c r="G57" s="36">
        <f>D57 * E57</f>
        <v>7</v>
      </c>
    </row>
    <row r="58" spans="1:7" x14ac:dyDescent="0.2">
      <c r="A58" s="24" t="str">
        <f>LabP8815R0L1G3Desc</f>
        <v>Verge</v>
      </c>
      <c r="D58" s="36">
        <f>LabP8815R0L1G3Rate</f>
        <v>2.5</v>
      </c>
      <c r="E58" s="37">
        <f>LeftVerge+RightVerge</f>
        <v>2.68</v>
      </c>
      <c r="F58" s="27" t="str">
        <f xml:space="preserve"> "" &amp; LabP8815R0L1G3Per</f>
        <v>m</v>
      </c>
      <c r="G58" s="36">
        <f>D58 * E58</f>
        <v>6.7</v>
      </c>
    </row>
    <row r="59" spans="1:7" x14ac:dyDescent="0.2">
      <c r="A59" s="24" t="str">
        <f>LabP8815R15L1G243Desc</f>
        <v>Apron Flashing (Code 4)</v>
      </c>
      <c r="D59" s="36">
        <f>LabP8815R15L1G243Rate</f>
        <v>15</v>
      </c>
      <c r="E59" s="37">
        <v>2.8</v>
      </c>
      <c r="F59" s="27" t="str">
        <f xml:space="preserve"> "" &amp; LabP8815R15L1G243Per</f>
        <v>m</v>
      </c>
      <c r="G59" s="36">
        <f>D59 * E59</f>
        <v>42</v>
      </c>
    </row>
    <row r="60" spans="1:7" x14ac:dyDescent="0.2">
      <c r="A60" s="24" t="str">
        <f>LabP8815R150LabLabourforPorchesDesc</f>
        <v>Labour for Porches</v>
      </c>
      <c r="D60" s="36">
        <f>LabP8815R150LabLabourforPorchesRate</f>
        <v>150</v>
      </c>
      <c r="E60" s="37">
        <v>1</v>
      </c>
      <c r="F60" s="27" t="str">
        <f xml:space="preserve"> "" &amp; LabP8815R150LabLabourforPorchesPer</f>
        <v/>
      </c>
      <c r="G60" s="36">
        <f>D60 * E60</f>
        <v>150</v>
      </c>
    </row>
    <row r="61" spans="1:7" x14ac:dyDescent="0.2">
      <c r="D61" s="36"/>
      <c r="E61" s="37"/>
      <c r="F61" s="27"/>
      <c r="G61" s="36"/>
    </row>
    <row r="62" spans="1:7" x14ac:dyDescent="0.2">
      <c r="A62" s="103"/>
      <c r="B62" s="103"/>
      <c r="C62" s="103"/>
      <c r="D62" s="36"/>
      <c r="E62" s="37"/>
      <c r="G62" s="36"/>
    </row>
    <row r="63" spans="1:7" x14ac:dyDescent="0.2">
      <c r="F63" s="34" t="s">
        <v>5</v>
      </c>
      <c r="G63" s="35">
        <f>SUM(G56:G62)</f>
        <v>239.45</v>
      </c>
    </row>
    <row r="67" spans="1:3" x14ac:dyDescent="0.2">
      <c r="A67" s="34"/>
      <c r="B67" s="38"/>
    </row>
    <row r="69" spans="1:3" x14ac:dyDescent="0.2">
      <c r="A69" s="34"/>
      <c r="B69" s="38"/>
    </row>
    <row r="71" spans="1:3" x14ac:dyDescent="0.2">
      <c r="A71" s="34"/>
      <c r="B71" s="38"/>
    </row>
    <row r="73" spans="1:3" x14ac:dyDescent="0.2">
      <c r="A73" s="34"/>
      <c r="B73" s="38"/>
    </row>
    <row r="76" spans="1:3" x14ac:dyDescent="0.2">
      <c r="A76" s="34"/>
      <c r="B76" s="38"/>
      <c r="C76" s="39"/>
    </row>
    <row r="78" spans="1:3" x14ac:dyDescent="0.2">
      <c r="A78" s="34"/>
      <c r="B78" s="38"/>
    </row>
    <row r="80" spans="1:3" x14ac:dyDescent="0.2">
      <c r="A80" s="34"/>
      <c r="B80" s="38"/>
      <c r="C80" s="39"/>
    </row>
    <row r="82" spans="1:3" x14ac:dyDescent="0.2">
      <c r="A82" s="34"/>
      <c r="B82" s="38"/>
    </row>
    <row r="84" spans="1:3" x14ac:dyDescent="0.2">
      <c r="A84" s="34"/>
      <c r="B84" s="38"/>
    </row>
    <row r="87" spans="1:3" x14ac:dyDescent="0.2">
      <c r="A87" s="34"/>
      <c r="B87" s="38"/>
    </row>
    <row r="89" spans="1:3" x14ac:dyDescent="0.2">
      <c r="A89" s="34"/>
      <c r="B89" s="38"/>
    </row>
    <row r="91" spans="1:3" x14ac:dyDescent="0.2">
      <c r="A91" s="34"/>
      <c r="B91" s="38"/>
      <c r="C91" s="39"/>
    </row>
    <row r="94" spans="1:3" x14ac:dyDescent="0.2">
      <c r="A94" s="34"/>
      <c r="B94" s="40"/>
      <c r="C94" s="23"/>
    </row>
    <row r="97" spans="1:2" x14ac:dyDescent="0.2">
      <c r="A97" s="39"/>
      <c r="B97" s="41"/>
    </row>
  </sheetData>
  <mergeCells count="5">
    <mergeCell ref="B4:F4"/>
    <mergeCell ref="B5:F5"/>
    <mergeCell ref="A55:C55"/>
    <mergeCell ref="A56:C56"/>
    <mergeCell ref="A62:C62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7CDA7-C033-4F5A-A0B2-DD3F82648835}">
  <dimension ref="A1:G99"/>
  <sheetViews>
    <sheetView workbookViewId="0">
      <selection activeCell="B37" sqref="B37"/>
    </sheetView>
  </sheetViews>
  <sheetFormatPr defaultColWidth="11.42578125" defaultRowHeight="12.75" x14ac:dyDescent="0.2"/>
  <cols>
    <col min="1" max="1" width="20" style="24" customWidth="1"/>
    <col min="2" max="2" width="15" style="24" customWidth="1"/>
    <col min="3" max="3" width="34" style="24" customWidth="1"/>
    <col min="4" max="4" width="9.7109375" style="24" customWidth="1"/>
    <col min="5" max="5" width="8.5703125" style="24" customWidth="1"/>
    <col min="6" max="6" width="12.28515625" style="24" customWidth="1"/>
    <col min="7" max="7" width="11.85546875" style="24" customWidth="1"/>
    <col min="8" max="16384" width="11.42578125" style="24"/>
  </cols>
  <sheetData>
    <row r="1" spans="1:7" x14ac:dyDescent="0.2">
      <c r="A1" s="23" t="s">
        <v>0</v>
      </c>
      <c r="B1" s="39" t="s">
        <v>298</v>
      </c>
      <c r="C1" s="39"/>
      <c r="D1" s="39"/>
      <c r="E1" s="39"/>
      <c r="F1" s="39"/>
    </row>
    <row r="2" spans="1:7" x14ac:dyDescent="0.2">
      <c r="A2" s="23" t="s">
        <v>64</v>
      </c>
      <c r="B2" s="39" t="s">
        <v>327</v>
      </c>
      <c r="C2" s="39"/>
      <c r="D2" s="39"/>
      <c r="E2" s="39"/>
      <c r="F2" s="39"/>
      <c r="G2" s="39"/>
    </row>
    <row r="3" spans="1:7" x14ac:dyDescent="0.2">
      <c r="A3" s="23" t="s">
        <v>1</v>
      </c>
      <c r="B3" s="39">
        <v>1234</v>
      </c>
      <c r="C3" s="39"/>
      <c r="D3" s="39"/>
      <c r="E3" s="39"/>
      <c r="F3" s="39"/>
      <c r="G3" s="39"/>
    </row>
    <row r="4" spans="1:7" x14ac:dyDescent="0.2">
      <c r="A4" s="23" t="s">
        <v>12</v>
      </c>
      <c r="B4" s="101" t="s">
        <v>151</v>
      </c>
      <c r="C4" s="101"/>
      <c r="D4" s="101"/>
      <c r="E4" s="101"/>
      <c r="F4" s="101"/>
    </row>
    <row r="5" spans="1:7" x14ac:dyDescent="0.2">
      <c r="A5" s="23" t="s">
        <v>13</v>
      </c>
      <c r="B5" s="101" t="s">
        <v>139</v>
      </c>
      <c r="C5" s="101"/>
      <c r="D5" s="101"/>
      <c r="E5" s="101"/>
      <c r="F5" s="101"/>
    </row>
    <row r="7" spans="1:7" x14ac:dyDescent="0.2">
      <c r="A7" s="25" t="s">
        <v>11</v>
      </c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3" t="s">
        <v>113</v>
      </c>
      <c r="B9" s="24">
        <v>84.92</v>
      </c>
      <c r="C9" s="23"/>
      <c r="D9" s="26"/>
    </row>
    <row r="10" spans="1:7" x14ac:dyDescent="0.2">
      <c r="A10" s="23" t="s">
        <v>114</v>
      </c>
      <c r="B10" s="24">
        <v>17.399999999999999</v>
      </c>
      <c r="C10" s="23"/>
      <c r="D10" s="26"/>
    </row>
    <row r="11" spans="1:7" x14ac:dyDescent="0.2">
      <c r="A11" s="23" t="s">
        <v>115</v>
      </c>
      <c r="B11" s="24">
        <v>9.76</v>
      </c>
      <c r="C11" s="23"/>
      <c r="D11" s="26"/>
    </row>
    <row r="12" spans="1:7" x14ac:dyDescent="0.2">
      <c r="A12" s="23" t="s">
        <v>116</v>
      </c>
      <c r="B12" s="24">
        <v>9.76</v>
      </c>
      <c r="C12" s="23"/>
      <c r="D12" s="26"/>
    </row>
    <row r="13" spans="1:7" x14ac:dyDescent="0.2">
      <c r="A13" s="23" t="s">
        <v>117</v>
      </c>
      <c r="B13" s="24">
        <v>8.6999999999999993</v>
      </c>
      <c r="C13" s="23"/>
      <c r="D13" s="26"/>
    </row>
    <row r="14" spans="1:7" x14ac:dyDescent="0.2">
      <c r="A14" s="23" t="s">
        <v>119</v>
      </c>
      <c r="B14" s="24">
        <v>600</v>
      </c>
      <c r="C14" s="23"/>
      <c r="D14" s="26"/>
    </row>
    <row r="15" spans="1:7" x14ac:dyDescent="0.2">
      <c r="A15" s="23" t="s">
        <v>120</v>
      </c>
      <c r="B15" s="24">
        <v>35</v>
      </c>
      <c r="C15" s="23"/>
      <c r="D15" s="26"/>
    </row>
    <row r="16" spans="1:7" x14ac:dyDescent="0.2">
      <c r="A16" s="23"/>
      <c r="C16" s="23"/>
      <c r="D16" s="26"/>
    </row>
    <row r="17" spans="1:7" x14ac:dyDescent="0.2">
      <c r="A17" s="23"/>
      <c r="B17" s="27"/>
      <c r="C17" s="23"/>
      <c r="D17" s="26"/>
    </row>
    <row r="18" spans="1:7" x14ac:dyDescent="0.2">
      <c r="A18" s="28" t="s">
        <v>10</v>
      </c>
      <c r="B18" s="28"/>
      <c r="C18" s="28"/>
      <c r="D18" s="28"/>
      <c r="E18" s="28"/>
      <c r="F18" s="28"/>
      <c r="G18" s="28"/>
    </row>
    <row r="19" spans="1:7" x14ac:dyDescent="0.2">
      <c r="A19" s="28"/>
      <c r="B19" s="28"/>
      <c r="C19" s="28"/>
      <c r="D19" s="28"/>
      <c r="E19" s="28"/>
      <c r="F19" s="28"/>
      <c r="G19" s="28"/>
    </row>
    <row r="20" spans="1:7" x14ac:dyDescent="0.2">
      <c r="A20" s="29" t="s">
        <v>121</v>
      </c>
      <c r="B20" s="24" t="s">
        <v>122</v>
      </c>
      <c r="C20" s="29"/>
      <c r="D20" s="29"/>
      <c r="E20" s="29"/>
      <c r="F20" s="29"/>
    </row>
    <row r="21" spans="1:7" x14ac:dyDescent="0.2">
      <c r="A21" s="29" t="s">
        <v>123</v>
      </c>
      <c r="B21" s="24" t="s">
        <v>124</v>
      </c>
      <c r="C21" s="29"/>
      <c r="D21" s="29"/>
      <c r="E21" s="29"/>
      <c r="F21" s="29"/>
    </row>
    <row r="22" spans="1:7" x14ac:dyDescent="0.2">
      <c r="A22" s="29"/>
      <c r="B22" s="24" t="s">
        <v>125</v>
      </c>
      <c r="C22" s="29"/>
      <c r="D22" s="29"/>
      <c r="E22" s="29"/>
      <c r="F22" s="29"/>
    </row>
    <row r="23" spans="1:7" x14ac:dyDescent="0.2">
      <c r="A23" s="29" t="s">
        <v>126</v>
      </c>
      <c r="B23" s="24" t="s">
        <v>127</v>
      </c>
      <c r="C23" s="29"/>
      <c r="D23" s="29"/>
      <c r="E23" s="29"/>
      <c r="F23" s="29"/>
    </row>
    <row r="24" spans="1:7" x14ac:dyDescent="0.2">
      <c r="A24" s="29"/>
      <c r="B24" s="24" t="s">
        <v>128</v>
      </c>
      <c r="C24" s="29"/>
      <c r="D24" s="29"/>
      <c r="E24" s="29"/>
      <c r="F24" s="29"/>
    </row>
    <row r="25" spans="1:7" x14ac:dyDescent="0.2">
      <c r="A25" s="29">
        <v>20</v>
      </c>
      <c r="B25" s="24" t="s">
        <v>130</v>
      </c>
      <c r="C25" s="29"/>
      <c r="D25" s="29"/>
      <c r="E25" s="29"/>
      <c r="F25" s="29"/>
    </row>
    <row r="26" spans="1:7" x14ac:dyDescent="0.2">
      <c r="A26" s="29"/>
      <c r="B26" s="24" t="s">
        <v>150</v>
      </c>
      <c r="C26" s="29"/>
      <c r="D26" s="29"/>
      <c r="E26" s="29"/>
      <c r="F26" s="29"/>
    </row>
    <row r="27" spans="1:7" x14ac:dyDescent="0.2">
      <c r="A27" s="29" t="s">
        <v>132</v>
      </c>
      <c r="B27" s="24" t="s">
        <v>133</v>
      </c>
      <c r="C27" s="29"/>
      <c r="D27" s="29"/>
      <c r="E27" s="29"/>
      <c r="F27" s="29"/>
    </row>
    <row r="28" spans="1:7" x14ac:dyDescent="0.2">
      <c r="A28" s="29" t="s">
        <v>134</v>
      </c>
      <c r="B28" s="24" t="s">
        <v>135</v>
      </c>
      <c r="C28" s="29"/>
      <c r="D28" s="29"/>
      <c r="E28" s="29"/>
      <c r="F28" s="29"/>
    </row>
    <row r="29" spans="1:7" x14ac:dyDescent="0.2">
      <c r="A29" s="29" t="s">
        <v>136</v>
      </c>
      <c r="B29" s="24" t="s">
        <v>137</v>
      </c>
      <c r="C29" s="29"/>
      <c r="D29" s="29"/>
      <c r="E29" s="29"/>
      <c r="F29" s="29"/>
    </row>
    <row r="30" spans="1:7" x14ac:dyDescent="0.2">
      <c r="A30" s="29"/>
      <c r="C30" s="29"/>
      <c r="D30" s="29"/>
      <c r="E30" s="29"/>
      <c r="F30" s="29"/>
    </row>
    <row r="31" spans="1:7" x14ac:dyDescent="0.2">
      <c r="A31" s="29"/>
      <c r="C31" s="29"/>
      <c r="D31" s="29"/>
      <c r="E31" s="29"/>
      <c r="F31" s="29"/>
    </row>
    <row r="32" spans="1:7" x14ac:dyDescent="0.2">
      <c r="A32" s="25" t="s">
        <v>14</v>
      </c>
      <c r="B32" s="25"/>
      <c r="C32" s="25"/>
      <c r="D32" s="25"/>
      <c r="E32" s="25"/>
      <c r="F32" s="25"/>
      <c r="G32" s="25"/>
    </row>
    <row r="34" spans="1:7" s="29" customFormat="1" x14ac:dyDescent="0.2">
      <c r="A34" s="29" t="s">
        <v>25</v>
      </c>
      <c r="B34" s="29" t="s">
        <v>38</v>
      </c>
      <c r="C34" s="29" t="s">
        <v>2</v>
      </c>
      <c r="D34" s="30" t="s">
        <v>9</v>
      </c>
      <c r="E34" s="30" t="s">
        <v>3</v>
      </c>
      <c r="F34" s="30" t="s">
        <v>4</v>
      </c>
      <c r="G34" s="30" t="s">
        <v>16</v>
      </c>
    </row>
    <row r="35" spans="1:7" x14ac:dyDescent="0.2">
      <c r="A35" s="24" t="str">
        <f>MatP8815C0Colour</f>
        <v>Not Specified</v>
      </c>
      <c r="B35" s="24" t="str">
        <f>IF(MatP8815C0Code=0,"",MatP8815C0Code)</f>
        <v/>
      </c>
      <c r="C35" s="24" t="str">
        <f>MatP8815C0Desc</f>
        <v>TLE Tile</v>
      </c>
      <c r="D35" s="31">
        <v>896</v>
      </c>
      <c r="E35" s="32">
        <f>MatP8815C0Price</f>
        <v>1.2</v>
      </c>
      <c r="F35" s="33" t="str">
        <f>MatP8815C0PerText</f>
        <v>Each</v>
      </c>
      <c r="G35" s="32">
        <f t="shared" ref="G35:G52" si="0">D35 * E35</f>
        <v>1075.2</v>
      </c>
    </row>
    <row r="36" spans="1:7" x14ac:dyDescent="0.2">
      <c r="A36" s="24" t="str">
        <f>MatP8870C0Colour</f>
        <v>Not Specified</v>
      </c>
      <c r="B36" s="24" t="str">
        <f>IF(MatP8870C0Code=0,"",MatP8870C0Code)</f>
        <v/>
      </c>
      <c r="C36" s="24" t="str">
        <f>MatP8870C0Desc</f>
        <v>Ridge Tile (450mm)</v>
      </c>
      <c r="D36" s="31">
        <v>20</v>
      </c>
      <c r="E36" s="32">
        <f>MatP8870C0Price</f>
        <v>3.64</v>
      </c>
      <c r="F36" s="33" t="str">
        <f>MatP8870C0PerText</f>
        <v>Each</v>
      </c>
      <c r="G36" s="32">
        <f t="shared" si="0"/>
        <v>72.8</v>
      </c>
    </row>
    <row r="37" spans="1:7" x14ac:dyDescent="0.2">
      <c r="A37" s="24" t="str">
        <f>MatP10135C0Colour</f>
        <v>Not Specified</v>
      </c>
      <c r="B37" s="24" t="str">
        <f>IF(MatP10135C0Code=0,"",MatP10135C0Code)</f>
        <v/>
      </c>
      <c r="C37" s="24" t="str">
        <f>MatP10135C0Desc</f>
        <v>VP300 Vapour Permeable Underlay (50m x 1m)</v>
      </c>
      <c r="D37" s="31">
        <v>3</v>
      </c>
      <c r="E37" s="32">
        <f>MatP10135C0Price</f>
        <v>35</v>
      </c>
      <c r="F37" s="33" t="str">
        <f>MatP10135C0PerText</f>
        <v>Roll</v>
      </c>
      <c r="G37" s="32">
        <f t="shared" si="0"/>
        <v>105</v>
      </c>
    </row>
    <row r="38" spans="1:7" x14ac:dyDescent="0.2">
      <c r="A38" s="24" t="str">
        <f>MatP9008C0Colour</f>
        <v>Not Specified</v>
      </c>
      <c r="B38" s="24" t="str">
        <f>IF(MatP9008C0Code=0,"",MatP9008C0Code)</f>
        <v/>
      </c>
      <c r="C38" s="24" t="str">
        <f>MatP9008C0Desc</f>
        <v>Battens (50mm x 25mm)</v>
      </c>
      <c r="D38" s="31">
        <v>291</v>
      </c>
      <c r="E38" s="32">
        <f>MatP9008C0Price</f>
        <v>0.9</v>
      </c>
      <c r="F38" s="33" t="str">
        <f>MatP9008C0PerText</f>
        <v>Metre</v>
      </c>
      <c r="G38" s="32">
        <f t="shared" si="0"/>
        <v>261.90000000000003</v>
      </c>
    </row>
    <row r="39" spans="1:7" x14ac:dyDescent="0.2">
      <c r="A39" s="24" t="str">
        <f>MatP8879C15Colour</f>
        <v>Not Specified</v>
      </c>
      <c r="B39" s="24" t="str">
        <f>IF(MatP8879C15Code=0,"",MatP8879C15Code)</f>
        <v/>
      </c>
      <c r="C39" s="24" t="str">
        <f>MatP8879C15Desc</f>
        <v>Universal Dry Ridge/Hip System (6m)</v>
      </c>
      <c r="D39" s="31">
        <v>2</v>
      </c>
      <c r="E39" s="32">
        <f>MatP8879C15Price</f>
        <v>28.09</v>
      </c>
      <c r="F39" s="33" t="str">
        <f>MatP8879C15PerText</f>
        <v>Pack</v>
      </c>
      <c r="G39" s="32">
        <f t="shared" si="0"/>
        <v>56.18</v>
      </c>
    </row>
    <row r="40" spans="1:7" x14ac:dyDescent="0.2">
      <c r="A40" s="24" t="str">
        <f>MatP8857C0Colour</f>
        <v>Not Specified</v>
      </c>
      <c r="B40" s="24" t="str">
        <f>IF(MatP8857C0Code=0,"",MatP8857C0Code)</f>
        <v/>
      </c>
      <c r="C40" s="24" t="str">
        <f>MatP8857C0Desc</f>
        <v>LH Uni-Fix Dry Verge Unit</v>
      </c>
      <c r="D40" s="31">
        <v>60</v>
      </c>
      <c r="E40" s="32">
        <f>MatP8857C0Price</f>
        <v>1.1000000000000001</v>
      </c>
      <c r="F40" s="33" t="str">
        <f>MatP8857C0PerText</f>
        <v>Each</v>
      </c>
      <c r="G40" s="32">
        <f t="shared" si="0"/>
        <v>66</v>
      </c>
    </row>
    <row r="41" spans="1:7" x14ac:dyDescent="0.2">
      <c r="A41" s="24" t="str">
        <f>MatP8869C0Colour</f>
        <v>Not Specified</v>
      </c>
      <c r="B41" s="24" t="str">
        <f>IF(MatP8869C0Code=0,"",MatP8869C0Code)</f>
        <v/>
      </c>
      <c r="C41" s="24" t="str">
        <f>MatP8869C0Desc</f>
        <v>RH Uni-Fix Dry Verge Unit</v>
      </c>
      <c r="D41" s="31">
        <v>60</v>
      </c>
      <c r="E41" s="32">
        <f>MatP8869C0Price</f>
        <v>1.1000000000000001</v>
      </c>
      <c r="F41" s="33" t="str">
        <f>MatP8869C0PerText</f>
        <v>Each</v>
      </c>
      <c r="G41" s="32">
        <f t="shared" si="0"/>
        <v>66</v>
      </c>
    </row>
    <row r="42" spans="1:7" x14ac:dyDescent="0.2">
      <c r="A42" s="24" t="str">
        <f>MatP8877C0Colour</f>
        <v>Not Specified</v>
      </c>
      <c r="B42" s="24" t="str">
        <f>IF(MatP8877C0Code=0,"",MatP8877C0Code)</f>
        <v/>
      </c>
      <c r="C42" s="24" t="str">
        <f>MatP8877C0Desc</f>
        <v>Uni-Fix Universal Ridge End Cap</v>
      </c>
      <c r="D42" s="31">
        <v>2</v>
      </c>
      <c r="E42" s="32">
        <f>MatP8877C0Price</f>
        <v>1.6</v>
      </c>
      <c r="F42" s="33" t="str">
        <f>MatP8877C0PerText</f>
        <v>Each</v>
      </c>
      <c r="G42" s="32">
        <f t="shared" si="0"/>
        <v>3.2</v>
      </c>
    </row>
    <row r="43" spans="1:7" x14ac:dyDescent="0.2">
      <c r="A43" s="24" t="str">
        <f>MatP8830C20Colour</f>
        <v>Not Specified</v>
      </c>
      <c r="B43" s="24" t="str">
        <f>IF(MatP8830C20Code=0,"",MatP8830C20Code)</f>
        <v/>
      </c>
      <c r="C43" s="24" t="str">
        <f>MatP8830C20Desc</f>
        <v>Dry Verge Starter Unit</v>
      </c>
      <c r="D43" s="31">
        <v>4</v>
      </c>
      <c r="E43" s="32">
        <f>MatP8830C20Price</f>
        <v>1.51</v>
      </c>
      <c r="F43" s="33" t="str">
        <f>MatP8830C20PerText</f>
        <v>Each</v>
      </c>
      <c r="G43" s="32">
        <f t="shared" si="0"/>
        <v>6.04</v>
      </c>
    </row>
    <row r="44" spans="1:7" x14ac:dyDescent="0.2">
      <c r="A44" s="24" t="str">
        <f>MatP8820C20Colour</f>
        <v>Not Specified</v>
      </c>
      <c r="B44" s="24" t="str">
        <f>IF(MatP8820C20Code=0,"",MatP8820C20Code)</f>
        <v/>
      </c>
      <c r="C44" s="24" t="str">
        <f>MatP8820C20Desc</f>
        <v>10mm Over Fascia Vent (1m)</v>
      </c>
      <c r="D44" s="31">
        <v>18</v>
      </c>
      <c r="E44" s="32">
        <f>MatP8820C20Price</f>
        <v>1.7</v>
      </c>
      <c r="F44" s="33" t="str">
        <f>MatP8820C20PerText</f>
        <v>Each</v>
      </c>
      <c r="G44" s="32">
        <f t="shared" si="0"/>
        <v>30.599999999999998</v>
      </c>
    </row>
    <row r="45" spans="1:7" x14ac:dyDescent="0.2">
      <c r="A45" s="24" t="str">
        <f>MatP8281C0Colour</f>
        <v>Not Specified</v>
      </c>
      <c r="B45" s="24" t="str">
        <f>IF(MatP8281C0Code=0,"",MatP8281C0Code)</f>
        <v/>
      </c>
      <c r="C45" s="24" t="str">
        <f>MatP8281C0Desc</f>
        <v>Generic Eave Insulation (1m)</v>
      </c>
      <c r="D45" s="31">
        <v>18</v>
      </c>
      <c r="E45" s="32">
        <f>MatP8281C0Price</f>
        <v>5</v>
      </c>
      <c r="F45" s="33" t="str">
        <f>MatP8281C0PerText</f>
        <v>Each</v>
      </c>
      <c r="G45" s="32">
        <f t="shared" si="0"/>
        <v>90</v>
      </c>
    </row>
    <row r="46" spans="1:7" x14ac:dyDescent="0.2">
      <c r="A46" s="24" t="str">
        <f>MatP8866C20Colour</f>
        <v>Not Specified</v>
      </c>
      <c r="B46" s="24" t="str">
        <f>IF(MatP8866C20Code=0,"",MatP8866C20Code)</f>
        <v/>
      </c>
      <c r="C46" s="24" t="str">
        <f>MatP8866C20Desc</f>
        <v>Rafter Roll (6m x 600mm)</v>
      </c>
      <c r="D46" s="31">
        <v>3</v>
      </c>
      <c r="E46" s="32">
        <f>MatP8866C20Price</f>
        <v>9.5</v>
      </c>
      <c r="F46" s="33" t="str">
        <f>MatP8866C20PerText</f>
        <v>Each</v>
      </c>
      <c r="G46" s="32">
        <f t="shared" si="0"/>
        <v>28.5</v>
      </c>
    </row>
    <row r="47" spans="1:7" x14ac:dyDescent="0.2">
      <c r="A47" s="24" t="str">
        <f>MatP8874C20Colour</f>
        <v>Not Specified</v>
      </c>
      <c r="B47" s="24" t="str">
        <f>IF(MatP8874C20Code=0,"",MatP8874C20Code)</f>
        <v/>
      </c>
      <c r="C47" s="24" t="str">
        <f>MatP8874C20Desc</f>
        <v>Underlay Support Tray (1.5m)</v>
      </c>
      <c r="D47" s="31">
        <v>12</v>
      </c>
      <c r="E47" s="32">
        <f>MatP8874C20Price</f>
        <v>1.5</v>
      </c>
      <c r="F47" s="33" t="str">
        <f>MatP8874C20PerText</f>
        <v>Each</v>
      </c>
      <c r="G47" s="32">
        <f t="shared" si="0"/>
        <v>18</v>
      </c>
    </row>
    <row r="48" spans="1:7" x14ac:dyDescent="0.2">
      <c r="A48" s="24" t="str">
        <f>MatP8872C539Colour</f>
        <v>Not Specified</v>
      </c>
      <c r="B48" s="24" t="str">
        <f>IF(MatP8872C539Code=0,"",MatP8872C539Code)</f>
        <v/>
      </c>
      <c r="C48" s="24" t="str">
        <f>MatP8872C539Desc</f>
        <v>Sidelock Tile Clips (TLE)</v>
      </c>
      <c r="D48" s="31">
        <v>347</v>
      </c>
      <c r="E48" s="32">
        <f>MatP8872C539Price</f>
        <v>7.0000000000000007E-2</v>
      </c>
      <c r="F48" s="33" t="str">
        <f>MatP8872C539PerText</f>
        <v>Each</v>
      </c>
      <c r="G48" s="32">
        <f t="shared" si="0"/>
        <v>24.290000000000003</v>
      </c>
    </row>
    <row r="49" spans="1:7" x14ac:dyDescent="0.2">
      <c r="A49" s="24" t="str">
        <f>MatP8826C539Colour</f>
        <v>Not Specified</v>
      </c>
      <c r="B49" s="24" t="str">
        <f>IF(MatP8826C539Code=0,"",MatP8826C539Code)</f>
        <v/>
      </c>
      <c r="C49" s="24" t="str">
        <f>MatP8826C539Desc</f>
        <v>Metal Batten End Clips</v>
      </c>
      <c r="D49" s="31">
        <v>60</v>
      </c>
      <c r="E49" s="32">
        <f>MatP8826C539Price</f>
        <v>0.28000000000000003</v>
      </c>
      <c r="F49" s="33" t="str">
        <f>MatP8826C539PerText</f>
        <v>Each</v>
      </c>
      <c r="G49" s="32">
        <f t="shared" si="0"/>
        <v>16.8</v>
      </c>
    </row>
    <row r="50" spans="1:7" x14ac:dyDescent="0.2">
      <c r="A50" s="24" t="str">
        <f>MatP8831C539Colour</f>
        <v>Not Specified</v>
      </c>
      <c r="B50" s="24" t="str">
        <f>IF(MatP8831C539Code=0,"",MatP8831C539Code)</f>
        <v/>
      </c>
      <c r="C50" s="24" t="str">
        <f>MatP8831C539Desc</f>
        <v>Eave Clip</v>
      </c>
      <c r="D50" s="31">
        <v>58</v>
      </c>
      <c r="E50" s="32">
        <f>MatP8831C539Price</f>
        <v>0.1</v>
      </c>
      <c r="F50" s="33" t="str">
        <f>MatP8831C539PerText</f>
        <v>Each</v>
      </c>
      <c r="G50" s="32">
        <f t="shared" si="0"/>
        <v>5.8000000000000007</v>
      </c>
    </row>
    <row r="51" spans="1:7" x14ac:dyDescent="0.2">
      <c r="A51" s="24" t="str">
        <f>MatP9318C0Colour</f>
        <v>Not Specified</v>
      </c>
      <c r="B51" s="24" t="str">
        <f>IF(MatP9318C0Code=0,"",MatP9318C0Code)</f>
        <v/>
      </c>
      <c r="C51" s="24" t="str">
        <f>MatP9318C0Desc</f>
        <v>45mm x 3.35mm Aluminium Nails</v>
      </c>
      <c r="D51" s="31">
        <v>3.0000001192092896</v>
      </c>
      <c r="E51" s="32">
        <f>MatP9318C0Price</f>
        <v>7.28</v>
      </c>
      <c r="F51" s="33" t="str">
        <f>MatP9318C0PerText</f>
        <v>Kg</v>
      </c>
      <c r="G51" s="32">
        <f t="shared" si="0"/>
        <v>21.840000867843628</v>
      </c>
    </row>
    <row r="52" spans="1:7" x14ac:dyDescent="0.2">
      <c r="A52" s="24" t="str">
        <f>MatP9100C0Colour</f>
        <v>Not Specified</v>
      </c>
      <c r="B52" s="24" t="str">
        <f>IF(MatP9100C0Code=0,"",MatP9100C0Code)</f>
        <v/>
      </c>
      <c r="C52" s="24" t="str">
        <f>MatP9100C0Desc</f>
        <v>Batten Nails - 65mm x 3.35mm Galvanised</v>
      </c>
      <c r="D52" s="31">
        <v>3</v>
      </c>
      <c r="E52" s="32">
        <f>MatP9100C0Price</f>
        <v>4.5</v>
      </c>
      <c r="F52" s="33" t="str">
        <f>MatP9100C0PerText</f>
        <v>Kg</v>
      </c>
      <c r="G52" s="32">
        <f t="shared" si="0"/>
        <v>13.5</v>
      </c>
    </row>
    <row r="53" spans="1:7" x14ac:dyDescent="0.2">
      <c r="D53" s="31"/>
      <c r="E53" s="32"/>
      <c r="F53" s="33"/>
      <c r="G53" s="32"/>
    </row>
    <row r="54" spans="1:7" x14ac:dyDescent="0.2">
      <c r="F54" s="34" t="s">
        <v>5</v>
      </c>
      <c r="G54" s="35">
        <f>SUM(G35:G53)</f>
        <v>1961.6500008678436</v>
      </c>
    </row>
    <row r="55" spans="1:7" x14ac:dyDescent="0.2">
      <c r="G55" s="34"/>
    </row>
    <row r="56" spans="1:7" x14ac:dyDescent="0.2">
      <c r="A56" s="25" t="s">
        <v>15</v>
      </c>
      <c r="B56" s="25"/>
      <c r="D56" s="25"/>
      <c r="E56" s="25"/>
      <c r="F56" s="25"/>
      <c r="G56" s="25"/>
    </row>
    <row r="58" spans="1:7" x14ac:dyDescent="0.2">
      <c r="A58" s="102" t="s">
        <v>6</v>
      </c>
      <c r="B58" s="102"/>
      <c r="C58" s="102"/>
      <c r="D58" s="34" t="s">
        <v>7</v>
      </c>
      <c r="E58" s="34" t="s">
        <v>9</v>
      </c>
      <c r="F58" s="34" t="s">
        <v>8</v>
      </c>
      <c r="G58" s="34" t="s">
        <v>16</v>
      </c>
    </row>
    <row r="59" spans="1:7" x14ac:dyDescent="0.2">
      <c r="A59" s="103" t="str">
        <f>LabP8815R6L1G1Desc</f>
        <v>Main Area</v>
      </c>
      <c r="B59" s="103"/>
      <c r="C59" s="103"/>
      <c r="D59" s="36">
        <f>LabP8815R6L1G1Rate</f>
        <v>9</v>
      </c>
      <c r="E59" s="37">
        <f>'CHE-Main Roof'!Area</f>
        <v>84.92</v>
      </c>
      <c r="F59" s="27" t="str">
        <f xml:space="preserve"> "" &amp; LabP8815R6L1G1Per</f>
        <v>m²</v>
      </c>
      <c r="G59" s="36">
        <f>D59 * E59</f>
        <v>764.28</v>
      </c>
    </row>
    <row r="60" spans="1:7" x14ac:dyDescent="0.2">
      <c r="A60" s="24" t="str">
        <f>LabP8815R0L1G2Desc</f>
        <v>Eave</v>
      </c>
      <c r="D60" s="36">
        <f>LabP8815R0L1G2Rate</f>
        <v>2.5</v>
      </c>
      <c r="E60" s="37">
        <f>'CHE-Main Roof'!Eave</f>
        <v>17.399999999999999</v>
      </c>
      <c r="F60" s="27" t="str">
        <f xml:space="preserve"> "" &amp; LabP8815R0L1G2Per</f>
        <v>m</v>
      </c>
      <c r="G60" s="36">
        <f>D60 * E60</f>
        <v>43.5</v>
      </c>
    </row>
    <row r="61" spans="1:7" x14ac:dyDescent="0.2">
      <c r="A61" s="24" t="str">
        <f>LabP8815R0L1G3Desc</f>
        <v>Verge</v>
      </c>
      <c r="D61" s="36">
        <f>LabP8815R0L1G3Rate</f>
        <v>2.5</v>
      </c>
      <c r="E61" s="37">
        <f>LeftVerge+RightVerge</f>
        <v>19.52</v>
      </c>
      <c r="F61" s="27" t="str">
        <f xml:space="preserve"> "" &amp; LabP8815R0L1G3Per</f>
        <v>m</v>
      </c>
      <c r="G61" s="36">
        <f>D61 * E61</f>
        <v>48.8</v>
      </c>
    </row>
    <row r="62" spans="1:7" x14ac:dyDescent="0.2">
      <c r="A62" s="24" t="str">
        <f>LabP8815R0L1G8Desc</f>
        <v>Duo Ridge</v>
      </c>
      <c r="D62" s="36">
        <f>LabP8815R0L1G8Rate</f>
        <v>2.5</v>
      </c>
      <c r="E62" s="37">
        <f>'CHE-Main Roof'!DuoRidge</f>
        <v>8.6999999999999993</v>
      </c>
      <c r="F62" s="27" t="str">
        <f xml:space="preserve"> "" &amp; LabP8815R0L1G8Per</f>
        <v>m</v>
      </c>
      <c r="G62" s="36">
        <f>D62 * E62</f>
        <v>21.75</v>
      </c>
    </row>
    <row r="63" spans="1:7" x14ac:dyDescent="0.2">
      <c r="D63" s="36"/>
      <c r="E63" s="37"/>
      <c r="F63" s="27"/>
      <c r="G63" s="36"/>
    </row>
    <row r="64" spans="1:7" x14ac:dyDescent="0.2">
      <c r="A64" s="103"/>
      <c r="B64" s="103"/>
      <c r="C64" s="103"/>
      <c r="D64" s="36"/>
      <c r="E64" s="37"/>
      <c r="G64" s="36"/>
    </row>
    <row r="65" spans="1:7" x14ac:dyDescent="0.2">
      <c r="F65" s="34" t="s">
        <v>5</v>
      </c>
      <c r="G65" s="35">
        <f>SUM(G59:G64)</f>
        <v>878.32999999999993</v>
      </c>
    </row>
    <row r="69" spans="1:7" x14ac:dyDescent="0.2">
      <c r="A69" s="34"/>
      <c r="B69" s="38"/>
    </row>
    <row r="71" spans="1:7" x14ac:dyDescent="0.2">
      <c r="A71" s="34"/>
      <c r="B71" s="38"/>
    </row>
    <row r="73" spans="1:7" x14ac:dyDescent="0.2">
      <c r="A73" s="34"/>
      <c r="B73" s="38"/>
    </row>
    <row r="75" spans="1:7" x14ac:dyDescent="0.2">
      <c r="A75" s="34"/>
      <c r="B75" s="38"/>
    </row>
    <row r="78" spans="1:7" x14ac:dyDescent="0.2">
      <c r="A78" s="34"/>
      <c r="B78" s="38"/>
      <c r="C78" s="39"/>
    </row>
    <row r="80" spans="1:7" x14ac:dyDescent="0.2">
      <c r="A80" s="34"/>
      <c r="B80" s="38"/>
    </row>
    <row r="82" spans="1:3" x14ac:dyDescent="0.2">
      <c r="A82" s="34"/>
      <c r="B82" s="38"/>
      <c r="C82" s="39"/>
    </row>
    <row r="84" spans="1:3" x14ac:dyDescent="0.2">
      <c r="A84" s="34"/>
      <c r="B84" s="38"/>
    </row>
    <row r="86" spans="1:3" x14ac:dyDescent="0.2">
      <c r="A86" s="34"/>
      <c r="B86" s="38"/>
    </row>
    <row r="89" spans="1:3" x14ac:dyDescent="0.2">
      <c r="A89" s="34"/>
      <c r="B89" s="38"/>
    </row>
    <row r="91" spans="1:3" x14ac:dyDescent="0.2">
      <c r="A91" s="34"/>
      <c r="B91" s="38"/>
    </row>
    <row r="93" spans="1:3" x14ac:dyDescent="0.2">
      <c r="A93" s="34"/>
      <c r="B93" s="38"/>
      <c r="C93" s="39"/>
    </row>
    <row r="96" spans="1:3" x14ac:dyDescent="0.2">
      <c r="A96" s="34"/>
      <c r="B96" s="40"/>
      <c r="C96" s="23"/>
    </row>
    <row r="99" spans="1:2" x14ac:dyDescent="0.2">
      <c r="A99" s="39"/>
      <c r="B99" s="41"/>
    </row>
  </sheetData>
  <mergeCells count="5">
    <mergeCell ref="B4:F4"/>
    <mergeCell ref="B5:F5"/>
    <mergeCell ref="A58:C58"/>
    <mergeCell ref="A59:C59"/>
    <mergeCell ref="A64:C64"/>
  </mergeCells>
  <pageMargins left="0.59089835992723128" right="0.19719757252565651" top="0.19719757252565651" bottom="0.19719757252565651" header="0.5" footer="0.5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56</vt:i4>
      </vt:variant>
      <vt:variant>
        <vt:lpstr>Named Ranges</vt:lpstr>
      </vt:variant>
      <vt:variant>
        <vt:i4>927</vt:i4>
      </vt:variant>
    </vt:vector>
  </HeadingPairs>
  <TitlesOfParts>
    <vt:vector size="983" baseType="lpstr">
      <vt:lpstr>Site Schedule</vt:lpstr>
      <vt:lpstr>Job Summary</vt:lpstr>
      <vt:lpstr>Site Summary</vt:lpstr>
      <vt:lpstr>Site Dimensions</vt:lpstr>
      <vt:lpstr>ALN-END-Main Roof</vt:lpstr>
      <vt:lpstr>ALN-END-Porch (Lean to)</vt:lpstr>
      <vt:lpstr>ALN-MID-Main Roof</vt:lpstr>
      <vt:lpstr>ALN-MID-Porch (Lean to)</vt:lpstr>
      <vt:lpstr>CHE-Main Roof</vt:lpstr>
      <vt:lpstr>CHE-Porch (Gable)</vt:lpstr>
      <vt:lpstr>CLN-Main Roof</vt:lpstr>
      <vt:lpstr>CLN-Porch (Gable)</vt:lpstr>
      <vt:lpstr>CLY-Main Roof</vt:lpstr>
      <vt:lpstr>CLY-Porch (Gable)</vt:lpstr>
      <vt:lpstr>HNB-END-Main Roof</vt:lpstr>
      <vt:lpstr>HNB-END-Porch (Lean to)</vt:lpstr>
      <vt:lpstr>HNB-MID-Main Roof</vt:lpstr>
      <vt:lpstr>HNB-MID-Porch (Lean to)</vt:lpstr>
      <vt:lpstr>HNB-SMI-Main Roof</vt:lpstr>
      <vt:lpstr>HNB-SMI-Porch (Lean to)</vt:lpstr>
      <vt:lpstr>HNB-SMI-Porch (Lean to)(1)</vt:lpstr>
      <vt:lpstr>HTF-Main Roof</vt:lpstr>
      <vt:lpstr>HTF-Porch (Lean to)</vt:lpstr>
      <vt:lpstr>KND-Main Roof</vt:lpstr>
      <vt:lpstr>KND-Porch (Lean to)</vt:lpstr>
      <vt:lpstr>MSL-END-Main Roof</vt:lpstr>
      <vt:lpstr>MSL-END-Porch (Lean to)</vt:lpstr>
      <vt:lpstr>MSL-MID-Main Roof</vt:lpstr>
      <vt:lpstr>MSL-MID-Porch (Lean to)</vt:lpstr>
      <vt:lpstr>MSL-SMI-Main Roof</vt:lpstr>
      <vt:lpstr>MSL-SMI-Porch (Lean to)</vt:lpstr>
      <vt:lpstr>MSL-SMI-Porch (Lean to)(1)</vt:lpstr>
      <vt:lpstr>ROS-Main Roof</vt:lpstr>
      <vt:lpstr>ROS-Porch (Gable)</vt:lpstr>
      <vt:lpstr>ROS-Lower Level</vt:lpstr>
      <vt:lpstr>RUF-DET-Main Roof</vt:lpstr>
      <vt:lpstr>RUF-DET-Lower Level</vt:lpstr>
      <vt:lpstr>RUF-SMI-Main Roof</vt:lpstr>
      <vt:lpstr>RUF-SMI-Lower Level</vt:lpstr>
      <vt:lpstr>RUF-SMI-Lower Level(1)</vt:lpstr>
      <vt:lpstr>SOU-END-Main Roof</vt:lpstr>
      <vt:lpstr>SOU-END-Porch (Lean to)</vt:lpstr>
      <vt:lpstr>SOU-MID-Main Roof</vt:lpstr>
      <vt:lpstr>SOU-MID-Porch (Lean to)</vt:lpstr>
      <vt:lpstr>SOU-SMI-Main Roof</vt:lpstr>
      <vt:lpstr>SOU-SMI-Porch (Lean to)</vt:lpstr>
      <vt:lpstr>TIV-Main Roof</vt:lpstr>
      <vt:lpstr>TIV-Porch (Gable)</vt:lpstr>
      <vt:lpstr>WIN-Main Roof</vt:lpstr>
      <vt:lpstr>WIN-Porch (Gable)</vt:lpstr>
      <vt:lpstr>Z-GDBL6.7-Garage</vt:lpstr>
      <vt:lpstr>Z-GDBLHIP-Garage</vt:lpstr>
      <vt:lpstr>Z-GDBLPYR-Garage</vt:lpstr>
      <vt:lpstr>Z-GSNG3.5-Garage</vt:lpstr>
      <vt:lpstr>Z-GTWN6.7-Garage</vt:lpstr>
      <vt:lpstr>Z-GTWNPYR-Garage</vt:lpstr>
      <vt:lpstr>'CHE-Porch (Gable)'!AbutCourses</vt:lpstr>
      <vt:lpstr>'CLN-Porch (Gable)'!AbutCourses</vt:lpstr>
      <vt:lpstr>'CLY-Porch (Gable)'!AbutCourses</vt:lpstr>
      <vt:lpstr>'HTF-Porch (Lean to)'!AbutCourses</vt:lpstr>
      <vt:lpstr>'KND-Porch (Lean to)'!AbutCourses</vt:lpstr>
      <vt:lpstr>'ROS-Lower Level'!AbutCourses</vt:lpstr>
      <vt:lpstr>'ROS-Porch (Gable)'!AbutCourses</vt:lpstr>
      <vt:lpstr>'SOU-END-Main Roof'!AbutCourses</vt:lpstr>
      <vt:lpstr>'SOU-MID-Main Roof'!AbutCourses</vt:lpstr>
      <vt:lpstr>'SOU-SMI-Main Roof'!AbutCourses</vt:lpstr>
      <vt:lpstr>'TIV-Porch (Gable)'!AbutCourses</vt:lpstr>
      <vt:lpstr>'WIN-Porch (Gable)'!AbutCourses</vt:lpstr>
      <vt:lpstr>'ALN-END-Main Roof'!Area</vt:lpstr>
      <vt:lpstr>'ALN-END-Porch (Lean to)'!Area</vt:lpstr>
      <vt:lpstr>'ALN-MID-Main Roof'!Area</vt:lpstr>
      <vt:lpstr>'ALN-MID-Porch (Lean to)'!Area</vt:lpstr>
      <vt:lpstr>'CHE-Main Roof'!Area</vt:lpstr>
      <vt:lpstr>'CHE-Porch (Gable)'!Area</vt:lpstr>
      <vt:lpstr>'CLN-Main Roof'!Area</vt:lpstr>
      <vt:lpstr>'CLN-Porch (Gable)'!Area</vt:lpstr>
      <vt:lpstr>'CLY-Main Roof'!Area</vt:lpstr>
      <vt:lpstr>'CLY-Porch (Gable)'!Area</vt:lpstr>
      <vt:lpstr>'HNB-END-Main Roof'!Area</vt:lpstr>
      <vt:lpstr>'HNB-END-Porch (Lean to)'!Area</vt:lpstr>
      <vt:lpstr>'HNB-MID-Main Roof'!Area</vt:lpstr>
      <vt:lpstr>'HNB-MID-Porch (Lean to)'!Area</vt:lpstr>
      <vt:lpstr>'HNB-SMI-Main Roof'!Area</vt:lpstr>
      <vt:lpstr>'HNB-SMI-Porch (Lean to)'!Area</vt:lpstr>
      <vt:lpstr>'HNB-SMI-Porch (Lean to)(1)'!Area</vt:lpstr>
      <vt:lpstr>'HTF-Main Roof'!Area</vt:lpstr>
      <vt:lpstr>'HTF-Porch (Lean to)'!Area</vt:lpstr>
      <vt:lpstr>'KND-Main Roof'!Area</vt:lpstr>
      <vt:lpstr>'KND-Porch (Lean to)'!Area</vt:lpstr>
      <vt:lpstr>'MSL-END-Main Roof'!Area</vt:lpstr>
      <vt:lpstr>'MSL-END-Porch (Lean to)'!Area</vt:lpstr>
      <vt:lpstr>'MSL-MID-Main Roof'!Area</vt:lpstr>
      <vt:lpstr>'MSL-MID-Porch (Lean to)'!Area</vt:lpstr>
      <vt:lpstr>'MSL-SMI-Main Roof'!Area</vt:lpstr>
      <vt:lpstr>'MSL-SMI-Porch (Lean to)'!Area</vt:lpstr>
      <vt:lpstr>'MSL-SMI-Porch (Lean to)(1)'!Area</vt:lpstr>
      <vt:lpstr>'ROS-Lower Level'!Area</vt:lpstr>
      <vt:lpstr>'ROS-Main Roof'!Area</vt:lpstr>
      <vt:lpstr>'ROS-Porch (Gable)'!Area</vt:lpstr>
      <vt:lpstr>'RUF-DET-Lower Level'!Area</vt:lpstr>
      <vt:lpstr>'RUF-DET-Main Roof'!Area</vt:lpstr>
      <vt:lpstr>'RUF-SMI-Lower Level'!Area</vt:lpstr>
      <vt:lpstr>'RUF-SMI-Lower Level(1)'!Area</vt:lpstr>
      <vt:lpstr>'RUF-SMI-Main Roof'!Area</vt:lpstr>
      <vt:lpstr>'SOU-END-Main Roof'!Area</vt:lpstr>
      <vt:lpstr>'SOU-END-Porch (Lean to)'!Area</vt:lpstr>
      <vt:lpstr>'SOU-MID-Main Roof'!Area</vt:lpstr>
      <vt:lpstr>'SOU-MID-Porch (Lean to)'!Area</vt:lpstr>
      <vt:lpstr>'SOU-SMI-Main Roof'!Area</vt:lpstr>
      <vt:lpstr>'SOU-SMI-Porch (Lean to)'!Area</vt:lpstr>
      <vt:lpstr>'TIV-Main Roof'!Area</vt:lpstr>
      <vt:lpstr>'TIV-Porch (Gable)'!Area</vt:lpstr>
      <vt:lpstr>'WIN-Main Roof'!Area</vt:lpstr>
      <vt:lpstr>'WIN-Porch (Gable)'!Area</vt:lpstr>
      <vt:lpstr>'Z-GDBL6.7-Garage'!Area</vt:lpstr>
      <vt:lpstr>'Z-GDBLHIP-Garage'!Area</vt:lpstr>
      <vt:lpstr>'Z-GDBLPYR-Garage'!Area</vt:lpstr>
      <vt:lpstr>'Z-GSNG3.5-Garage'!Area</vt:lpstr>
      <vt:lpstr>'Z-GTWN6.7-Garage'!Area</vt:lpstr>
      <vt:lpstr>'Z-GTWNPYR-Garage'!Area</vt:lpstr>
      <vt:lpstr>CustomerName</vt:lpstr>
      <vt:lpstr>'ALN-END-Main Roof'!Dimensions</vt:lpstr>
      <vt:lpstr>'ALN-END-Porch (Lean to)'!Dimensions</vt:lpstr>
      <vt:lpstr>'ALN-MID-Main Roof'!Dimensions</vt:lpstr>
      <vt:lpstr>'ALN-MID-Porch (Lean to)'!Dimensions</vt:lpstr>
      <vt:lpstr>'CHE-Main Roof'!Dimensions</vt:lpstr>
      <vt:lpstr>'CHE-Porch (Gable)'!Dimensions</vt:lpstr>
      <vt:lpstr>'CLN-Main Roof'!Dimensions</vt:lpstr>
      <vt:lpstr>'CLN-Porch (Gable)'!Dimensions</vt:lpstr>
      <vt:lpstr>'CLY-Main Roof'!Dimensions</vt:lpstr>
      <vt:lpstr>'CLY-Porch (Gable)'!Dimensions</vt:lpstr>
      <vt:lpstr>'HNB-END-Main Roof'!Dimensions</vt:lpstr>
      <vt:lpstr>'HNB-END-Porch (Lean to)'!Dimensions</vt:lpstr>
      <vt:lpstr>'HNB-MID-Main Roof'!Dimensions</vt:lpstr>
      <vt:lpstr>'HNB-MID-Porch (Lean to)'!Dimensions</vt:lpstr>
      <vt:lpstr>'HNB-SMI-Main Roof'!Dimensions</vt:lpstr>
      <vt:lpstr>'HNB-SMI-Porch (Lean to)'!Dimensions</vt:lpstr>
      <vt:lpstr>'HNB-SMI-Porch (Lean to)(1)'!Dimensions</vt:lpstr>
      <vt:lpstr>'HTF-Main Roof'!Dimensions</vt:lpstr>
      <vt:lpstr>'HTF-Porch (Lean to)'!Dimensions</vt:lpstr>
      <vt:lpstr>'KND-Main Roof'!Dimensions</vt:lpstr>
      <vt:lpstr>'KND-Porch (Lean to)'!Dimensions</vt:lpstr>
      <vt:lpstr>'MSL-END-Main Roof'!Dimensions</vt:lpstr>
      <vt:lpstr>'MSL-END-Porch (Lean to)'!Dimensions</vt:lpstr>
      <vt:lpstr>'MSL-MID-Main Roof'!Dimensions</vt:lpstr>
      <vt:lpstr>'MSL-MID-Porch (Lean to)'!Dimensions</vt:lpstr>
      <vt:lpstr>'MSL-SMI-Main Roof'!Dimensions</vt:lpstr>
      <vt:lpstr>'MSL-SMI-Porch (Lean to)'!Dimensions</vt:lpstr>
      <vt:lpstr>'MSL-SMI-Porch (Lean to)(1)'!Dimensions</vt:lpstr>
      <vt:lpstr>'ROS-Lower Level'!Dimensions</vt:lpstr>
      <vt:lpstr>'ROS-Main Roof'!Dimensions</vt:lpstr>
      <vt:lpstr>'ROS-Porch (Gable)'!Dimensions</vt:lpstr>
      <vt:lpstr>'RUF-DET-Lower Level'!Dimensions</vt:lpstr>
      <vt:lpstr>'RUF-DET-Main Roof'!Dimensions</vt:lpstr>
      <vt:lpstr>'RUF-SMI-Lower Level'!Dimensions</vt:lpstr>
      <vt:lpstr>'RUF-SMI-Lower Level(1)'!Dimensions</vt:lpstr>
      <vt:lpstr>'RUF-SMI-Main Roof'!Dimensions</vt:lpstr>
      <vt:lpstr>'SOU-END-Main Roof'!Dimensions</vt:lpstr>
      <vt:lpstr>'SOU-END-Porch (Lean to)'!Dimensions</vt:lpstr>
      <vt:lpstr>'SOU-MID-Main Roof'!Dimensions</vt:lpstr>
      <vt:lpstr>'SOU-MID-Porch (Lean to)'!Dimensions</vt:lpstr>
      <vt:lpstr>'SOU-SMI-Main Roof'!Dimensions</vt:lpstr>
      <vt:lpstr>'SOU-SMI-Porch (Lean to)'!Dimensions</vt:lpstr>
      <vt:lpstr>'TIV-Main Roof'!Dimensions</vt:lpstr>
      <vt:lpstr>'TIV-Porch (Gable)'!Dimensions</vt:lpstr>
      <vt:lpstr>'WIN-Main Roof'!Dimensions</vt:lpstr>
      <vt:lpstr>'WIN-Porch (Gable)'!Dimensions</vt:lpstr>
      <vt:lpstr>'Z-GDBL6.7-Garage'!Dimensions</vt:lpstr>
      <vt:lpstr>'Z-GDBLHIP-Garage'!Dimensions</vt:lpstr>
      <vt:lpstr>'Z-GDBLPYR-Garage'!Dimensions</vt:lpstr>
      <vt:lpstr>'Z-GSNG3.5-Garage'!Dimensions</vt:lpstr>
      <vt:lpstr>'Z-GTWN6.7-Garage'!Dimensions</vt:lpstr>
      <vt:lpstr>'Z-GTWNPYR-Garage'!Dimensions</vt:lpstr>
      <vt:lpstr>'ALN-END-Main Roof'!DuoRidge</vt:lpstr>
      <vt:lpstr>'ALN-MID-Main Roof'!DuoRidge</vt:lpstr>
      <vt:lpstr>'CHE-Main Roof'!DuoRidge</vt:lpstr>
      <vt:lpstr>'CHE-Porch (Gable)'!DuoRidge</vt:lpstr>
      <vt:lpstr>'CLN-Main Roof'!DuoRidge</vt:lpstr>
      <vt:lpstr>'CLN-Porch (Gable)'!DuoRidge</vt:lpstr>
      <vt:lpstr>'CLY-Main Roof'!DuoRidge</vt:lpstr>
      <vt:lpstr>'CLY-Porch (Gable)'!DuoRidge</vt:lpstr>
      <vt:lpstr>'HNB-END-Main Roof'!DuoRidge</vt:lpstr>
      <vt:lpstr>'HNB-MID-Main Roof'!DuoRidge</vt:lpstr>
      <vt:lpstr>'HNB-SMI-Main Roof'!DuoRidge</vt:lpstr>
      <vt:lpstr>'HTF-Main Roof'!DuoRidge</vt:lpstr>
      <vt:lpstr>'KND-Main Roof'!DuoRidge</vt:lpstr>
      <vt:lpstr>'MSL-END-Main Roof'!DuoRidge</vt:lpstr>
      <vt:lpstr>'MSL-MID-Main Roof'!DuoRidge</vt:lpstr>
      <vt:lpstr>'MSL-SMI-Main Roof'!DuoRidge</vt:lpstr>
      <vt:lpstr>'ROS-Main Roof'!DuoRidge</vt:lpstr>
      <vt:lpstr>'ROS-Porch (Gable)'!DuoRidge</vt:lpstr>
      <vt:lpstr>'RUF-DET-Main Roof'!DuoRidge</vt:lpstr>
      <vt:lpstr>'RUF-SMI-Main Roof'!DuoRidge</vt:lpstr>
      <vt:lpstr>'SOU-END-Main Roof'!DuoRidge</vt:lpstr>
      <vt:lpstr>'SOU-MID-Main Roof'!DuoRidge</vt:lpstr>
      <vt:lpstr>'SOU-SMI-Main Roof'!DuoRidge</vt:lpstr>
      <vt:lpstr>'TIV-Main Roof'!DuoRidge</vt:lpstr>
      <vt:lpstr>'TIV-Porch (Gable)'!DuoRidge</vt:lpstr>
      <vt:lpstr>'WIN-Main Roof'!DuoRidge</vt:lpstr>
      <vt:lpstr>'WIN-Porch (Gable)'!DuoRidge</vt:lpstr>
      <vt:lpstr>'Z-GDBL6.7-Garage'!DuoRidge</vt:lpstr>
      <vt:lpstr>'Z-GDBLHIP-Garage'!DuoRidge</vt:lpstr>
      <vt:lpstr>'Z-GSNG3.5-Garage'!DuoRidge</vt:lpstr>
      <vt:lpstr>'Z-GTWN6.7-Garage'!DuoRidge</vt:lpstr>
      <vt:lpstr>'ALN-END-Main Roof'!Eave</vt:lpstr>
      <vt:lpstr>'ALN-END-Porch (Lean to)'!Eave</vt:lpstr>
      <vt:lpstr>'ALN-MID-Main Roof'!Eave</vt:lpstr>
      <vt:lpstr>'ALN-MID-Porch (Lean to)'!Eave</vt:lpstr>
      <vt:lpstr>'CHE-Main Roof'!Eave</vt:lpstr>
      <vt:lpstr>'CHE-Porch (Gable)'!Eave</vt:lpstr>
      <vt:lpstr>'CLN-Main Roof'!Eave</vt:lpstr>
      <vt:lpstr>'CLN-Porch (Gable)'!Eave</vt:lpstr>
      <vt:lpstr>'CLY-Main Roof'!Eave</vt:lpstr>
      <vt:lpstr>'CLY-Porch (Gable)'!Eave</vt:lpstr>
      <vt:lpstr>'HNB-END-Main Roof'!Eave</vt:lpstr>
      <vt:lpstr>'HNB-END-Porch (Lean to)'!Eave</vt:lpstr>
      <vt:lpstr>'HNB-MID-Main Roof'!Eave</vt:lpstr>
      <vt:lpstr>'HNB-MID-Porch (Lean to)'!Eave</vt:lpstr>
      <vt:lpstr>'HNB-SMI-Main Roof'!Eave</vt:lpstr>
      <vt:lpstr>'HNB-SMI-Porch (Lean to)'!Eave</vt:lpstr>
      <vt:lpstr>'HNB-SMI-Porch (Lean to)(1)'!Eave</vt:lpstr>
      <vt:lpstr>'HTF-Main Roof'!Eave</vt:lpstr>
      <vt:lpstr>'HTF-Porch (Lean to)'!Eave</vt:lpstr>
      <vt:lpstr>'KND-Main Roof'!Eave</vt:lpstr>
      <vt:lpstr>'KND-Porch (Lean to)'!Eave</vt:lpstr>
      <vt:lpstr>'MSL-END-Main Roof'!Eave</vt:lpstr>
      <vt:lpstr>'MSL-END-Porch (Lean to)'!Eave</vt:lpstr>
      <vt:lpstr>'MSL-MID-Main Roof'!Eave</vt:lpstr>
      <vt:lpstr>'MSL-MID-Porch (Lean to)'!Eave</vt:lpstr>
      <vt:lpstr>'MSL-SMI-Main Roof'!Eave</vt:lpstr>
      <vt:lpstr>'MSL-SMI-Porch (Lean to)'!Eave</vt:lpstr>
      <vt:lpstr>'MSL-SMI-Porch (Lean to)(1)'!Eave</vt:lpstr>
      <vt:lpstr>'ROS-Lower Level'!Eave</vt:lpstr>
      <vt:lpstr>'ROS-Main Roof'!Eave</vt:lpstr>
      <vt:lpstr>'ROS-Porch (Gable)'!Eave</vt:lpstr>
      <vt:lpstr>'RUF-DET-Lower Level'!Eave</vt:lpstr>
      <vt:lpstr>'RUF-DET-Main Roof'!Eave</vt:lpstr>
      <vt:lpstr>'RUF-SMI-Lower Level'!Eave</vt:lpstr>
      <vt:lpstr>'RUF-SMI-Lower Level(1)'!Eave</vt:lpstr>
      <vt:lpstr>'RUF-SMI-Main Roof'!Eave</vt:lpstr>
      <vt:lpstr>'SOU-END-Main Roof'!Eave</vt:lpstr>
      <vt:lpstr>'SOU-END-Porch (Lean to)'!Eave</vt:lpstr>
      <vt:lpstr>'SOU-MID-Main Roof'!Eave</vt:lpstr>
      <vt:lpstr>'SOU-MID-Porch (Lean to)'!Eave</vt:lpstr>
      <vt:lpstr>'SOU-SMI-Main Roof'!Eave</vt:lpstr>
      <vt:lpstr>'SOU-SMI-Porch (Lean to)'!Eave</vt:lpstr>
      <vt:lpstr>'TIV-Main Roof'!Eave</vt:lpstr>
      <vt:lpstr>'TIV-Porch (Gable)'!Eave</vt:lpstr>
      <vt:lpstr>'WIN-Main Roof'!Eave</vt:lpstr>
      <vt:lpstr>'WIN-Porch (Gable)'!Eave</vt:lpstr>
      <vt:lpstr>'Z-GDBL6.7-Garage'!Eave</vt:lpstr>
      <vt:lpstr>'Z-GDBLHIP-Garage'!Eave</vt:lpstr>
      <vt:lpstr>'Z-GDBLPYR-Garage'!Eave</vt:lpstr>
      <vt:lpstr>'Z-GSNG3.5-Garage'!Eave</vt:lpstr>
      <vt:lpstr>'Z-GTWN6.7-Garage'!Eave</vt:lpstr>
      <vt:lpstr>'Z-GTWNPYR-Garage'!Eave</vt:lpstr>
      <vt:lpstr>'Z-GDBLHIP-Garage'!Hip</vt:lpstr>
      <vt:lpstr>'Z-GDBLPYR-Garage'!Hip</vt:lpstr>
      <vt:lpstr>'Z-GTWNPYR-Garage'!Hip</vt:lpstr>
      <vt:lpstr>JobSummaryItemId1667</vt:lpstr>
      <vt:lpstr>JobSummaryItemId1668</vt:lpstr>
      <vt:lpstr>JobSummaryItemId1671</vt:lpstr>
      <vt:lpstr>JobSummaryItemId1672</vt:lpstr>
      <vt:lpstr>JobSummaryItemId1674</vt:lpstr>
      <vt:lpstr>JobSummaryItemId1675</vt:lpstr>
      <vt:lpstr>JobSummaryItemId1676</vt:lpstr>
      <vt:lpstr>JobSummaryItemId1681</vt:lpstr>
      <vt:lpstr>JobSummaryItemId1684</vt:lpstr>
      <vt:lpstr>JobSummaryItemId1688</vt:lpstr>
      <vt:lpstr>JobSummaryItemId1690</vt:lpstr>
      <vt:lpstr>JobSummaryItemId1694</vt:lpstr>
      <vt:lpstr>JobSummaryItemId1695</vt:lpstr>
      <vt:lpstr>JobSummaryItemId1697</vt:lpstr>
      <vt:lpstr>JobSummaryItemId1698</vt:lpstr>
      <vt:lpstr>JobSummaryItemId1699</vt:lpstr>
      <vt:lpstr>JobSummaryItemId1700</vt:lpstr>
      <vt:lpstr>JobSummaryItemId1747</vt:lpstr>
      <vt:lpstr>JobSummaryItemId1750</vt:lpstr>
      <vt:lpstr>JobSummaryItemId1753</vt:lpstr>
      <vt:lpstr>JobSummaryItemId1754</vt:lpstr>
      <vt:lpstr>JobSummaryItemId1756</vt:lpstr>
      <vt:lpstr>JobSummaryItemId1758</vt:lpstr>
      <vt:lpstr>JobSummaryItemId1763</vt:lpstr>
      <vt:lpstr>JobSummaryItemId1764</vt:lpstr>
      <vt:lpstr>JobSummaryItemId1766</vt:lpstr>
      <vt:lpstr>JobSummaryItemId1767</vt:lpstr>
      <vt:lpstr>JobSummaryItemId1768</vt:lpstr>
      <vt:lpstr>JobSummaryItemId1770</vt:lpstr>
      <vt:lpstr>JobSummaryItemId1771</vt:lpstr>
      <vt:lpstr>JobSummaryItemId1773</vt:lpstr>
      <vt:lpstr>JobSummaryItemId1776</vt:lpstr>
      <vt:lpstr>JobSummaryItemId1777</vt:lpstr>
      <vt:lpstr>JobSummaryItemId1778</vt:lpstr>
      <vt:lpstr>JobSummaryItemId1780</vt:lpstr>
      <vt:lpstr>JobSummaryItemId1781</vt:lpstr>
      <vt:lpstr>JobSummaryItemId1784</vt:lpstr>
      <vt:lpstr>JobSummaryItemId1786</vt:lpstr>
      <vt:lpstr>JobSummaryItemId1788</vt:lpstr>
      <vt:lpstr>JobSummaryItemId1791</vt:lpstr>
      <vt:lpstr>JobSummaryItemId1792</vt:lpstr>
      <vt:lpstr>JobSummaryItemId1795</vt:lpstr>
      <vt:lpstr>JobSummaryItemId1799</vt:lpstr>
      <vt:lpstr>JobSummaryItemId1800</vt:lpstr>
      <vt:lpstr>JobSummaryItemId1802</vt:lpstr>
      <vt:lpstr>JobSummaryItemId1803</vt:lpstr>
      <vt:lpstr>JobSummaryItemId1806</vt:lpstr>
      <vt:lpstr>JobSummaryItemId1810</vt:lpstr>
      <vt:lpstr>JobSummaryItemId1812</vt:lpstr>
      <vt:lpstr>JobSummaryItemId1815</vt:lpstr>
      <vt:lpstr>JobSummaryItemId1817</vt:lpstr>
      <vt:lpstr>JobSummaryItemId1819</vt:lpstr>
      <vt:lpstr>JobSummaryTotal</vt:lpstr>
      <vt:lpstr>'ALN-END-Main Roof'!Labour</vt:lpstr>
      <vt:lpstr>'ALN-END-Porch (Lean to)'!Labour</vt:lpstr>
      <vt:lpstr>'ALN-MID-Main Roof'!Labour</vt:lpstr>
      <vt:lpstr>'ALN-MID-Porch (Lean to)'!Labour</vt:lpstr>
      <vt:lpstr>'CHE-Main Roof'!Labour</vt:lpstr>
      <vt:lpstr>'CHE-Porch (Gable)'!Labour</vt:lpstr>
      <vt:lpstr>'CLN-Main Roof'!Labour</vt:lpstr>
      <vt:lpstr>'CLN-Porch (Gable)'!Labour</vt:lpstr>
      <vt:lpstr>'CLY-Main Roof'!Labour</vt:lpstr>
      <vt:lpstr>'CLY-Porch (Gable)'!Labour</vt:lpstr>
      <vt:lpstr>'HNB-END-Main Roof'!Labour</vt:lpstr>
      <vt:lpstr>'HNB-END-Porch (Lean to)'!Labour</vt:lpstr>
      <vt:lpstr>'HNB-MID-Main Roof'!Labour</vt:lpstr>
      <vt:lpstr>'HNB-MID-Porch (Lean to)'!Labour</vt:lpstr>
      <vt:lpstr>'HNB-SMI-Main Roof'!Labour</vt:lpstr>
      <vt:lpstr>'HNB-SMI-Porch (Lean to)'!Labour</vt:lpstr>
      <vt:lpstr>'HNB-SMI-Porch (Lean to)(1)'!Labour</vt:lpstr>
      <vt:lpstr>'HTF-Main Roof'!Labour</vt:lpstr>
      <vt:lpstr>'HTF-Porch (Lean to)'!Labour</vt:lpstr>
      <vt:lpstr>'KND-Main Roof'!Labour</vt:lpstr>
      <vt:lpstr>'KND-Porch (Lean to)'!Labour</vt:lpstr>
      <vt:lpstr>'MSL-END-Main Roof'!Labour</vt:lpstr>
      <vt:lpstr>'MSL-END-Porch (Lean to)'!Labour</vt:lpstr>
      <vt:lpstr>'MSL-MID-Main Roof'!Labour</vt:lpstr>
      <vt:lpstr>'MSL-MID-Porch (Lean to)'!Labour</vt:lpstr>
      <vt:lpstr>'MSL-SMI-Main Roof'!Labour</vt:lpstr>
      <vt:lpstr>'MSL-SMI-Porch (Lean to)'!Labour</vt:lpstr>
      <vt:lpstr>'MSL-SMI-Porch (Lean to)(1)'!Labour</vt:lpstr>
      <vt:lpstr>'ROS-Lower Level'!Labour</vt:lpstr>
      <vt:lpstr>'ROS-Main Roof'!Labour</vt:lpstr>
      <vt:lpstr>'ROS-Porch (Gable)'!Labour</vt:lpstr>
      <vt:lpstr>'RUF-DET-Lower Level'!Labour</vt:lpstr>
      <vt:lpstr>'RUF-DET-Main Roof'!Labour</vt:lpstr>
      <vt:lpstr>'RUF-SMI-Lower Level'!Labour</vt:lpstr>
      <vt:lpstr>'RUF-SMI-Lower Level(1)'!Labour</vt:lpstr>
      <vt:lpstr>'RUF-SMI-Main Roof'!Labour</vt:lpstr>
      <vt:lpstr>'SOU-END-Main Roof'!Labour</vt:lpstr>
      <vt:lpstr>'SOU-END-Porch (Lean to)'!Labour</vt:lpstr>
      <vt:lpstr>'SOU-MID-Main Roof'!Labour</vt:lpstr>
      <vt:lpstr>'SOU-MID-Porch (Lean to)'!Labour</vt:lpstr>
      <vt:lpstr>'SOU-SMI-Main Roof'!Labour</vt:lpstr>
      <vt:lpstr>'SOU-SMI-Porch (Lean to)'!Labour</vt:lpstr>
      <vt:lpstr>'TIV-Main Roof'!Labour</vt:lpstr>
      <vt:lpstr>'TIV-Porch (Gable)'!Labour</vt:lpstr>
      <vt:lpstr>'WIN-Main Roof'!Labour</vt:lpstr>
      <vt:lpstr>'WIN-Porch (Gable)'!Labour</vt:lpstr>
      <vt:lpstr>'Z-GDBL6.7-Garage'!Labour</vt:lpstr>
      <vt:lpstr>'Z-GDBLHIP-Garage'!Labour</vt:lpstr>
      <vt:lpstr>'Z-GDBLPYR-Garage'!Labour</vt:lpstr>
      <vt:lpstr>'Z-GSNG3.5-Garage'!Labour</vt:lpstr>
      <vt:lpstr>'Z-GTWN6.7-Garage'!Labour</vt:lpstr>
      <vt:lpstr>'Z-GTWNPYR-Garage'!Labour</vt:lpstr>
      <vt:lpstr>'ALN-END-Main Roof'!LABOURTOTAL</vt:lpstr>
      <vt:lpstr>'ALN-END-Porch (Lean to)'!LABOURTOTAL</vt:lpstr>
      <vt:lpstr>'ALN-MID-Main Roof'!LABOURTOTAL</vt:lpstr>
      <vt:lpstr>'ALN-MID-Porch (Lean to)'!LABOURTOTAL</vt:lpstr>
      <vt:lpstr>'CHE-Main Roof'!LABOURTOTAL</vt:lpstr>
      <vt:lpstr>'CHE-Porch (Gable)'!LABOURTOTAL</vt:lpstr>
      <vt:lpstr>'CLN-Main Roof'!LABOURTOTAL</vt:lpstr>
      <vt:lpstr>'CLN-Porch (Gable)'!LABOURTOTAL</vt:lpstr>
      <vt:lpstr>'CLY-Main Roof'!LABOURTOTAL</vt:lpstr>
      <vt:lpstr>'CLY-Porch (Gable)'!LABOURTOTAL</vt:lpstr>
      <vt:lpstr>'HNB-END-Main Roof'!LABOURTOTAL</vt:lpstr>
      <vt:lpstr>'HNB-END-Porch (Lean to)'!LABOURTOTAL</vt:lpstr>
      <vt:lpstr>'HNB-MID-Main Roof'!LABOURTOTAL</vt:lpstr>
      <vt:lpstr>'HNB-MID-Porch (Lean to)'!LABOURTOTAL</vt:lpstr>
      <vt:lpstr>'HNB-SMI-Main Roof'!LABOURTOTAL</vt:lpstr>
      <vt:lpstr>'HNB-SMI-Porch (Lean to)'!LABOURTOTAL</vt:lpstr>
      <vt:lpstr>'HNB-SMI-Porch (Lean to)(1)'!LABOURTOTAL</vt:lpstr>
      <vt:lpstr>'HTF-Main Roof'!LABOURTOTAL</vt:lpstr>
      <vt:lpstr>'HTF-Porch (Lean to)'!LABOURTOTAL</vt:lpstr>
      <vt:lpstr>'KND-Main Roof'!LABOURTOTAL</vt:lpstr>
      <vt:lpstr>'KND-Porch (Lean to)'!LABOURTOTAL</vt:lpstr>
      <vt:lpstr>'MSL-END-Main Roof'!LABOURTOTAL</vt:lpstr>
      <vt:lpstr>'MSL-END-Porch (Lean to)'!LABOURTOTAL</vt:lpstr>
      <vt:lpstr>'MSL-MID-Main Roof'!LABOURTOTAL</vt:lpstr>
      <vt:lpstr>'MSL-MID-Porch (Lean to)'!LABOURTOTAL</vt:lpstr>
      <vt:lpstr>'MSL-SMI-Main Roof'!LABOURTOTAL</vt:lpstr>
      <vt:lpstr>'MSL-SMI-Porch (Lean to)'!LABOURTOTAL</vt:lpstr>
      <vt:lpstr>'MSL-SMI-Porch (Lean to)(1)'!LABOURTOTAL</vt:lpstr>
      <vt:lpstr>'ROS-Lower Level'!LABOURTOTAL</vt:lpstr>
      <vt:lpstr>'ROS-Main Roof'!LABOURTOTAL</vt:lpstr>
      <vt:lpstr>'ROS-Porch (Gable)'!LABOURTOTAL</vt:lpstr>
      <vt:lpstr>'RUF-DET-Lower Level'!LABOURTOTAL</vt:lpstr>
      <vt:lpstr>'RUF-DET-Main Roof'!LABOURTOTAL</vt:lpstr>
      <vt:lpstr>'RUF-SMI-Lower Level'!LABOURTOTAL</vt:lpstr>
      <vt:lpstr>'RUF-SMI-Lower Level(1)'!LABOURTOTAL</vt:lpstr>
      <vt:lpstr>'RUF-SMI-Main Roof'!LABOURTOTAL</vt:lpstr>
      <vt:lpstr>'SOU-END-Main Roof'!LABOURTOTAL</vt:lpstr>
      <vt:lpstr>'SOU-END-Porch (Lean to)'!LABOURTOTAL</vt:lpstr>
      <vt:lpstr>'SOU-MID-Main Roof'!LABOURTOTAL</vt:lpstr>
      <vt:lpstr>'SOU-MID-Porch (Lean to)'!LABOURTOTAL</vt:lpstr>
      <vt:lpstr>'SOU-SMI-Main Roof'!LABOURTOTAL</vt:lpstr>
      <vt:lpstr>'SOU-SMI-Porch (Lean to)'!LABOURTOTAL</vt:lpstr>
      <vt:lpstr>'TIV-Main Roof'!LABOURTOTAL</vt:lpstr>
      <vt:lpstr>'TIV-Porch (Gable)'!LABOURTOTAL</vt:lpstr>
      <vt:lpstr>'WIN-Main Roof'!LABOURTOTAL</vt:lpstr>
      <vt:lpstr>'WIN-Porch (Gable)'!LABOURTOTAL</vt:lpstr>
      <vt:lpstr>'Z-GDBL6.7-Garage'!LABOURTOTAL</vt:lpstr>
      <vt:lpstr>'Z-GDBLHIP-Garage'!LABOURTOTAL</vt:lpstr>
      <vt:lpstr>'Z-GDBLPYR-Garage'!LABOURTOTAL</vt:lpstr>
      <vt:lpstr>'Z-GSNG3.5-Garage'!LABOURTOTAL</vt:lpstr>
      <vt:lpstr>'Z-GTWN6.7-Garage'!LABOURTOTAL</vt:lpstr>
      <vt:lpstr>'Z-GTWNPYR-Garage'!LABOURTOTAL</vt:lpstr>
      <vt:lpstr>LabP8815R0L1G10Desc</vt:lpstr>
      <vt:lpstr>LabP8815R0L1G10Per</vt:lpstr>
      <vt:lpstr>LabP8815R0L1G10Rate</vt:lpstr>
      <vt:lpstr>LabP8815R0L1G241Desc</vt:lpstr>
      <vt:lpstr>LabP8815R0L1G241Per</vt:lpstr>
      <vt:lpstr>LabP8815R0L1G241Rate</vt:lpstr>
      <vt:lpstr>LabP8815R0L1G2Desc</vt:lpstr>
      <vt:lpstr>LabP8815R0L1G2Per</vt:lpstr>
      <vt:lpstr>LabP8815R0L1G2Rate</vt:lpstr>
      <vt:lpstr>LabP8815R0L1G3Desc</vt:lpstr>
      <vt:lpstr>LabP8815R0L1G3Per</vt:lpstr>
      <vt:lpstr>LabP8815R0L1G3Rate</vt:lpstr>
      <vt:lpstr>LabP8815R0L1G8Desc</vt:lpstr>
      <vt:lpstr>LabP8815R0L1G8Per</vt:lpstr>
      <vt:lpstr>LabP8815R0L1G8Rate</vt:lpstr>
      <vt:lpstr>LabP8815R0LabBoilerFlueDesc</vt:lpstr>
      <vt:lpstr>LabP8815R0LabBoilerFluePer</vt:lpstr>
      <vt:lpstr>LabP8815R0LabBoilerFlueRate</vt:lpstr>
      <vt:lpstr>LabP8815R0LabCuttingandDressingtoGRPDormersDesc</vt:lpstr>
      <vt:lpstr>LabP8815R0LabCuttingandDressingtoGRPDormersPer</vt:lpstr>
      <vt:lpstr>LabP8815R0LabCuttingandDressingtoGRPDormersRate</vt:lpstr>
      <vt:lpstr>LabP8815R150LabLabourforLowerLevelDesc</vt:lpstr>
      <vt:lpstr>LabP8815R150LabLabourforLowerLevelPer</vt:lpstr>
      <vt:lpstr>LabP8815R150LabLabourforLowerLevelRate</vt:lpstr>
      <vt:lpstr>LabP8815R150LabLabourforPorchesDesc</vt:lpstr>
      <vt:lpstr>LabP8815R150LabLabourforPorchesPer</vt:lpstr>
      <vt:lpstr>LabP8815R150LabLabourforPorchesRate</vt:lpstr>
      <vt:lpstr>LabP8815R15L1G243Desc</vt:lpstr>
      <vt:lpstr>LabP8815R15L1G243Per</vt:lpstr>
      <vt:lpstr>LabP8815R15L1G243Rate</vt:lpstr>
      <vt:lpstr>LabP8815R15L1G274Desc</vt:lpstr>
      <vt:lpstr>LabP8815R15L1G274Per</vt:lpstr>
      <vt:lpstr>LabP8815R15L1G274Rate</vt:lpstr>
      <vt:lpstr>LabP8815R15L1G6Desc</vt:lpstr>
      <vt:lpstr>LabP8815R15L1G6Per</vt:lpstr>
      <vt:lpstr>LabP8815R15L1G6Rate</vt:lpstr>
      <vt:lpstr>LabP8815R15L1G7Desc</vt:lpstr>
      <vt:lpstr>LabP8815R15L1G7Per</vt:lpstr>
      <vt:lpstr>LabP8815R15L1G7Rate</vt:lpstr>
      <vt:lpstr>LabP8815R30LabLabourforCuttingtoSolarPanelsDesc</vt:lpstr>
      <vt:lpstr>LabP8815R30LabLabourforCuttingtoSolarPanelsPer</vt:lpstr>
      <vt:lpstr>LabP8815R30LabLabourforCuttingtoSolarPanelsRate</vt:lpstr>
      <vt:lpstr>LabP8815R30LabLabourforCuttingtoVeluxDesc</vt:lpstr>
      <vt:lpstr>LabP8815R30LabLabourforCuttingtoVeluxPer</vt:lpstr>
      <vt:lpstr>LabP8815R30LabLabourforCuttingtoVeluxRate</vt:lpstr>
      <vt:lpstr>LabP8815R6L1G1Desc</vt:lpstr>
      <vt:lpstr>LabP8815R6L1G1Per</vt:lpstr>
      <vt:lpstr>LabP8815R6L1G1Rate</vt:lpstr>
      <vt:lpstr>'ALN-END-Main Roof'!LeftVerge</vt:lpstr>
      <vt:lpstr>'ALN-END-Porch (Lean to)'!LeftVerge</vt:lpstr>
      <vt:lpstr>'ALN-MID-Porch (Lean to)'!LeftVerge</vt:lpstr>
      <vt:lpstr>'CHE-Main Roof'!LeftVerge</vt:lpstr>
      <vt:lpstr>'CHE-Porch (Gable)'!LeftVerge</vt:lpstr>
      <vt:lpstr>'CLN-Main Roof'!LeftVerge</vt:lpstr>
      <vt:lpstr>'CLN-Porch (Gable)'!LeftVerge</vt:lpstr>
      <vt:lpstr>'CLY-Main Roof'!LeftVerge</vt:lpstr>
      <vt:lpstr>'CLY-Porch (Gable)'!LeftVerge</vt:lpstr>
      <vt:lpstr>'HNB-END-Main Roof'!LeftVerge</vt:lpstr>
      <vt:lpstr>'HNB-END-Porch (Lean to)'!LeftVerge</vt:lpstr>
      <vt:lpstr>'HNB-MID-Porch (Lean to)'!LeftVerge</vt:lpstr>
      <vt:lpstr>'HNB-SMI-Main Roof'!LeftVerge</vt:lpstr>
      <vt:lpstr>'HNB-SMI-Porch (Lean to)'!LeftVerge</vt:lpstr>
      <vt:lpstr>'HNB-SMI-Porch (Lean to)(1)'!LeftVerge</vt:lpstr>
      <vt:lpstr>'HTF-Main Roof'!LeftVerge</vt:lpstr>
      <vt:lpstr>'HTF-Porch (Lean to)'!LeftVerge</vt:lpstr>
      <vt:lpstr>'KND-Main Roof'!LeftVerge</vt:lpstr>
      <vt:lpstr>'KND-Porch (Lean to)'!LeftVerge</vt:lpstr>
      <vt:lpstr>'MSL-END-Main Roof'!LeftVerge</vt:lpstr>
      <vt:lpstr>'MSL-END-Porch (Lean to)'!LeftVerge</vt:lpstr>
      <vt:lpstr>'MSL-MID-Porch (Lean to)'!LeftVerge</vt:lpstr>
      <vt:lpstr>'MSL-SMI-Main Roof'!LeftVerge</vt:lpstr>
      <vt:lpstr>'MSL-SMI-Porch (Lean to)'!LeftVerge</vt:lpstr>
      <vt:lpstr>'MSL-SMI-Porch (Lean to)(1)'!LeftVerge</vt:lpstr>
      <vt:lpstr>'ROS-Lower Level'!LeftVerge</vt:lpstr>
      <vt:lpstr>'ROS-Main Roof'!LeftVerge</vt:lpstr>
      <vt:lpstr>'ROS-Porch (Gable)'!LeftVerge</vt:lpstr>
      <vt:lpstr>'RUF-DET-Lower Level'!LeftVerge</vt:lpstr>
      <vt:lpstr>'RUF-DET-Main Roof'!LeftVerge</vt:lpstr>
      <vt:lpstr>'RUF-SMI-Lower Level'!LeftVerge</vt:lpstr>
      <vt:lpstr>'RUF-SMI-Lower Level(1)'!LeftVerge</vt:lpstr>
      <vt:lpstr>'RUF-SMI-Main Roof'!LeftVerge</vt:lpstr>
      <vt:lpstr>'SOU-END-Main Roof'!LeftVerge</vt:lpstr>
      <vt:lpstr>'SOU-END-Porch (Lean to)'!LeftVerge</vt:lpstr>
      <vt:lpstr>'SOU-MID-Main Roof'!LeftVerge</vt:lpstr>
      <vt:lpstr>'SOU-MID-Porch (Lean to)'!LeftVerge</vt:lpstr>
      <vt:lpstr>'SOU-SMI-Main Roof'!LeftVerge</vt:lpstr>
      <vt:lpstr>'SOU-SMI-Porch (Lean to)'!LeftVerge</vt:lpstr>
      <vt:lpstr>'TIV-Main Roof'!LeftVerge</vt:lpstr>
      <vt:lpstr>'TIV-Porch (Gable)'!LeftVerge</vt:lpstr>
      <vt:lpstr>'WIN-Main Roof'!LeftVerge</vt:lpstr>
      <vt:lpstr>'WIN-Porch (Gable)'!LeftVerge</vt:lpstr>
      <vt:lpstr>'Z-GDBL6.7-Garage'!LeftVerge</vt:lpstr>
      <vt:lpstr>'Z-GSNG3.5-Garage'!LeftVerge</vt:lpstr>
      <vt:lpstr>'Z-GTWN6.7-Garage'!LeftVerge</vt:lpstr>
      <vt:lpstr>MarkupPercentage</vt:lpstr>
      <vt:lpstr>'ALN-END-Main Roof'!Materials</vt:lpstr>
      <vt:lpstr>'ALN-END-Porch (Lean to)'!Materials</vt:lpstr>
      <vt:lpstr>'ALN-MID-Main Roof'!Materials</vt:lpstr>
      <vt:lpstr>'ALN-MID-Porch (Lean to)'!Materials</vt:lpstr>
      <vt:lpstr>'CHE-Main Roof'!Materials</vt:lpstr>
      <vt:lpstr>'CHE-Porch (Gable)'!Materials</vt:lpstr>
      <vt:lpstr>'CLN-Main Roof'!Materials</vt:lpstr>
      <vt:lpstr>'CLN-Porch (Gable)'!Materials</vt:lpstr>
      <vt:lpstr>'CLY-Main Roof'!Materials</vt:lpstr>
      <vt:lpstr>'CLY-Porch (Gable)'!Materials</vt:lpstr>
      <vt:lpstr>'HNB-END-Main Roof'!Materials</vt:lpstr>
      <vt:lpstr>'HNB-END-Porch (Lean to)'!Materials</vt:lpstr>
      <vt:lpstr>'HNB-MID-Main Roof'!Materials</vt:lpstr>
      <vt:lpstr>'HNB-MID-Porch (Lean to)'!Materials</vt:lpstr>
      <vt:lpstr>'HNB-SMI-Main Roof'!Materials</vt:lpstr>
      <vt:lpstr>'HNB-SMI-Porch (Lean to)'!Materials</vt:lpstr>
      <vt:lpstr>'HNB-SMI-Porch (Lean to)(1)'!Materials</vt:lpstr>
      <vt:lpstr>'HTF-Main Roof'!Materials</vt:lpstr>
      <vt:lpstr>'HTF-Porch (Lean to)'!Materials</vt:lpstr>
      <vt:lpstr>'KND-Main Roof'!Materials</vt:lpstr>
      <vt:lpstr>'KND-Porch (Lean to)'!Materials</vt:lpstr>
      <vt:lpstr>'MSL-END-Main Roof'!Materials</vt:lpstr>
      <vt:lpstr>'MSL-END-Porch (Lean to)'!Materials</vt:lpstr>
      <vt:lpstr>'MSL-MID-Main Roof'!Materials</vt:lpstr>
      <vt:lpstr>'MSL-MID-Porch (Lean to)'!Materials</vt:lpstr>
      <vt:lpstr>'MSL-SMI-Main Roof'!Materials</vt:lpstr>
      <vt:lpstr>'MSL-SMI-Porch (Lean to)'!Materials</vt:lpstr>
      <vt:lpstr>'MSL-SMI-Porch (Lean to)(1)'!Materials</vt:lpstr>
      <vt:lpstr>'ROS-Lower Level'!Materials</vt:lpstr>
      <vt:lpstr>'ROS-Main Roof'!Materials</vt:lpstr>
      <vt:lpstr>'ROS-Porch (Gable)'!Materials</vt:lpstr>
      <vt:lpstr>'RUF-DET-Lower Level'!Materials</vt:lpstr>
      <vt:lpstr>'RUF-DET-Main Roof'!Materials</vt:lpstr>
      <vt:lpstr>'RUF-SMI-Lower Level'!Materials</vt:lpstr>
      <vt:lpstr>'RUF-SMI-Lower Level(1)'!Materials</vt:lpstr>
      <vt:lpstr>'RUF-SMI-Main Roof'!Materials</vt:lpstr>
      <vt:lpstr>'SOU-END-Main Roof'!Materials</vt:lpstr>
      <vt:lpstr>'SOU-END-Porch (Lean to)'!Materials</vt:lpstr>
      <vt:lpstr>'SOU-MID-Main Roof'!Materials</vt:lpstr>
      <vt:lpstr>'SOU-MID-Porch (Lean to)'!Materials</vt:lpstr>
      <vt:lpstr>'SOU-SMI-Main Roof'!Materials</vt:lpstr>
      <vt:lpstr>'SOU-SMI-Porch (Lean to)'!Materials</vt:lpstr>
      <vt:lpstr>'TIV-Main Roof'!Materials</vt:lpstr>
      <vt:lpstr>'TIV-Porch (Gable)'!Materials</vt:lpstr>
      <vt:lpstr>'WIN-Main Roof'!Materials</vt:lpstr>
      <vt:lpstr>'WIN-Porch (Gable)'!Materials</vt:lpstr>
      <vt:lpstr>'Z-GDBL6.7-Garage'!Materials</vt:lpstr>
      <vt:lpstr>'Z-GDBLHIP-Garage'!Materials</vt:lpstr>
      <vt:lpstr>'Z-GDBLPYR-Garage'!Materials</vt:lpstr>
      <vt:lpstr>'Z-GSNG3.5-Garage'!Materials</vt:lpstr>
      <vt:lpstr>'Z-GTWN6.7-Garage'!Materials</vt:lpstr>
      <vt:lpstr>'Z-GTWNPYR-Garage'!Materials</vt:lpstr>
      <vt:lpstr>'ALN-END-Main Roof'!MATERIALTOTAL</vt:lpstr>
      <vt:lpstr>'ALN-END-Porch (Lean to)'!MATERIALTOTAL</vt:lpstr>
      <vt:lpstr>'ALN-MID-Main Roof'!MATERIALTOTAL</vt:lpstr>
      <vt:lpstr>'ALN-MID-Porch (Lean to)'!MATERIALTOTAL</vt:lpstr>
      <vt:lpstr>'CHE-Main Roof'!MATERIALTOTAL</vt:lpstr>
      <vt:lpstr>'CHE-Porch (Gable)'!MATERIALTOTAL</vt:lpstr>
      <vt:lpstr>'CLN-Main Roof'!MATERIALTOTAL</vt:lpstr>
      <vt:lpstr>'CLN-Porch (Gable)'!MATERIALTOTAL</vt:lpstr>
      <vt:lpstr>'CLY-Main Roof'!MATERIALTOTAL</vt:lpstr>
      <vt:lpstr>'CLY-Porch (Gable)'!MATERIALTOTAL</vt:lpstr>
      <vt:lpstr>'HNB-END-Main Roof'!MATERIALTOTAL</vt:lpstr>
      <vt:lpstr>'HNB-END-Porch (Lean to)'!MATERIALTOTAL</vt:lpstr>
      <vt:lpstr>'HNB-MID-Main Roof'!MATERIALTOTAL</vt:lpstr>
      <vt:lpstr>'HNB-MID-Porch (Lean to)'!MATERIALTOTAL</vt:lpstr>
      <vt:lpstr>'HNB-SMI-Main Roof'!MATERIALTOTAL</vt:lpstr>
      <vt:lpstr>'HNB-SMI-Porch (Lean to)'!MATERIALTOTAL</vt:lpstr>
      <vt:lpstr>'HNB-SMI-Porch (Lean to)(1)'!MATERIALTOTAL</vt:lpstr>
      <vt:lpstr>'HTF-Main Roof'!MATERIALTOTAL</vt:lpstr>
      <vt:lpstr>'HTF-Porch (Lean to)'!MATERIALTOTAL</vt:lpstr>
      <vt:lpstr>'KND-Main Roof'!MATERIALTOTAL</vt:lpstr>
      <vt:lpstr>'KND-Porch (Lean to)'!MATERIALTOTAL</vt:lpstr>
      <vt:lpstr>'MSL-END-Main Roof'!MATERIALTOTAL</vt:lpstr>
      <vt:lpstr>'MSL-END-Porch (Lean to)'!MATERIALTOTAL</vt:lpstr>
      <vt:lpstr>'MSL-MID-Main Roof'!MATERIALTOTAL</vt:lpstr>
      <vt:lpstr>'MSL-MID-Porch (Lean to)'!MATERIALTOTAL</vt:lpstr>
      <vt:lpstr>'MSL-SMI-Main Roof'!MATERIALTOTAL</vt:lpstr>
      <vt:lpstr>'MSL-SMI-Porch (Lean to)'!MATERIALTOTAL</vt:lpstr>
      <vt:lpstr>'MSL-SMI-Porch (Lean to)(1)'!MATERIALTOTAL</vt:lpstr>
      <vt:lpstr>'ROS-Lower Level'!MATERIALTOTAL</vt:lpstr>
      <vt:lpstr>'ROS-Main Roof'!MATERIALTOTAL</vt:lpstr>
      <vt:lpstr>'ROS-Porch (Gable)'!MATERIALTOTAL</vt:lpstr>
      <vt:lpstr>'RUF-DET-Lower Level'!MATERIALTOTAL</vt:lpstr>
      <vt:lpstr>'RUF-DET-Main Roof'!MATERIALTOTAL</vt:lpstr>
      <vt:lpstr>'RUF-SMI-Lower Level'!MATERIALTOTAL</vt:lpstr>
      <vt:lpstr>'RUF-SMI-Lower Level(1)'!MATERIALTOTAL</vt:lpstr>
      <vt:lpstr>'RUF-SMI-Main Roof'!MATERIALTOTAL</vt:lpstr>
      <vt:lpstr>'SOU-END-Main Roof'!MATERIALTOTAL</vt:lpstr>
      <vt:lpstr>'SOU-END-Porch (Lean to)'!MATERIALTOTAL</vt:lpstr>
      <vt:lpstr>'SOU-MID-Main Roof'!MATERIALTOTAL</vt:lpstr>
      <vt:lpstr>'SOU-MID-Porch (Lean to)'!MATERIALTOTAL</vt:lpstr>
      <vt:lpstr>'SOU-SMI-Main Roof'!MATERIALTOTAL</vt:lpstr>
      <vt:lpstr>'SOU-SMI-Porch (Lean to)'!MATERIALTOTAL</vt:lpstr>
      <vt:lpstr>'TIV-Main Roof'!MATERIALTOTAL</vt:lpstr>
      <vt:lpstr>'TIV-Porch (Gable)'!MATERIALTOTAL</vt:lpstr>
      <vt:lpstr>'WIN-Main Roof'!MATERIALTOTAL</vt:lpstr>
      <vt:lpstr>'WIN-Porch (Gable)'!MATERIALTOTAL</vt:lpstr>
      <vt:lpstr>'Z-GDBL6.7-Garage'!MATERIALTOTAL</vt:lpstr>
      <vt:lpstr>'Z-GDBLHIP-Garage'!MATERIALTOTAL</vt:lpstr>
      <vt:lpstr>'Z-GDBLPYR-Garage'!MATERIALTOTAL</vt:lpstr>
      <vt:lpstr>'Z-GSNG3.5-Garage'!MATERIALTOTAL</vt:lpstr>
      <vt:lpstr>'Z-GTWN6.7-Garage'!MATERIALTOTAL</vt:lpstr>
      <vt:lpstr>'Z-GTWNPYR-Garage'!MATERIALTOTAL</vt:lpstr>
      <vt:lpstr>MatLeadHipSaddleCode</vt:lpstr>
      <vt:lpstr>MatLeadHipSaddleColour</vt:lpstr>
      <vt:lpstr>MatLeadHipSaddleDesc</vt:lpstr>
      <vt:lpstr>MatLeadHipSaddleManufacturer</vt:lpstr>
      <vt:lpstr>MatLeadHipSaddlePerText</vt:lpstr>
      <vt:lpstr>MatLeadHipSaddlePrice</vt:lpstr>
      <vt:lpstr>MatLeadRidgeApexSaddleCode</vt:lpstr>
      <vt:lpstr>MatLeadRidgeApexSaddleColour</vt:lpstr>
      <vt:lpstr>MatLeadRidgeApexSaddleDesc</vt:lpstr>
      <vt:lpstr>MatLeadRidgeApexSaddleManufacturer</vt:lpstr>
      <vt:lpstr>MatLeadRidgeApexSaddlePerText</vt:lpstr>
      <vt:lpstr>MatLeadRidgeApexSaddlePrice</vt:lpstr>
      <vt:lpstr>MatLeadSlateCode</vt:lpstr>
      <vt:lpstr>MatLeadSlateColour</vt:lpstr>
      <vt:lpstr>MatLeadSlateDesc</vt:lpstr>
      <vt:lpstr>MatLeadSlateManufacturer</vt:lpstr>
      <vt:lpstr>MatLeadSlatePerText</vt:lpstr>
      <vt:lpstr>MatLeadSlatePrice</vt:lpstr>
      <vt:lpstr>MatLeadValleySaddleCode</vt:lpstr>
      <vt:lpstr>MatLeadValleySaddleColour</vt:lpstr>
      <vt:lpstr>MatLeadValleySaddleDesc</vt:lpstr>
      <vt:lpstr>MatLeadValleySaddleManufacturer</vt:lpstr>
      <vt:lpstr>MatLeadValleySaddlePerText</vt:lpstr>
      <vt:lpstr>MatLeadValleySaddlePrice</vt:lpstr>
      <vt:lpstr>MatP10135C0Code</vt:lpstr>
      <vt:lpstr>MatP10135C0Colour</vt:lpstr>
      <vt:lpstr>MatP10135C0Desc</vt:lpstr>
      <vt:lpstr>MatP10135C0Manufacturer</vt:lpstr>
      <vt:lpstr>MatP10135C0PerText</vt:lpstr>
      <vt:lpstr>MatP10135C0Price</vt:lpstr>
      <vt:lpstr>MatP8281C0Code</vt:lpstr>
      <vt:lpstr>MatP8281C0Colour</vt:lpstr>
      <vt:lpstr>MatP8281C0Desc</vt:lpstr>
      <vt:lpstr>MatP8281C0Manufacturer</vt:lpstr>
      <vt:lpstr>MatP8281C0PerText</vt:lpstr>
      <vt:lpstr>MatP8281C0Price</vt:lpstr>
      <vt:lpstr>MatP8624C0Code</vt:lpstr>
      <vt:lpstr>MatP8624C0Colour</vt:lpstr>
      <vt:lpstr>MatP8624C0Desc</vt:lpstr>
      <vt:lpstr>MatP8624C0Manufacturer</vt:lpstr>
      <vt:lpstr>MatP8624C0PerText</vt:lpstr>
      <vt:lpstr>MatP8624C0Price</vt:lpstr>
      <vt:lpstr>MatP8815C0Code</vt:lpstr>
      <vt:lpstr>MatP8815C0Colour</vt:lpstr>
      <vt:lpstr>MatP8815C0Desc</vt:lpstr>
      <vt:lpstr>MatP8815C0Manufacturer</vt:lpstr>
      <vt:lpstr>MatP8815C0PerText</vt:lpstr>
      <vt:lpstr>MatP8815C0Price</vt:lpstr>
      <vt:lpstr>MatP8820C20Code</vt:lpstr>
      <vt:lpstr>MatP8820C20Colour</vt:lpstr>
      <vt:lpstr>MatP8820C20Desc</vt:lpstr>
      <vt:lpstr>MatP8820C20Manufacturer</vt:lpstr>
      <vt:lpstr>MatP8820C20PerText</vt:lpstr>
      <vt:lpstr>MatP8820C20Price</vt:lpstr>
      <vt:lpstr>MatP8821C20Code</vt:lpstr>
      <vt:lpstr>MatP8821C20Colour</vt:lpstr>
      <vt:lpstr>MatP8821C20Desc</vt:lpstr>
      <vt:lpstr>MatP8821C20Manufacturer</vt:lpstr>
      <vt:lpstr>MatP8821C20PerText</vt:lpstr>
      <vt:lpstr>MatP8821C20Price</vt:lpstr>
      <vt:lpstr>MatP8826C539Code</vt:lpstr>
      <vt:lpstr>MatP8826C539Colour</vt:lpstr>
      <vt:lpstr>MatP8826C539Desc</vt:lpstr>
      <vt:lpstr>MatP8826C539Manufacturer</vt:lpstr>
      <vt:lpstr>MatP8826C539PerText</vt:lpstr>
      <vt:lpstr>MatP8826C539Price</vt:lpstr>
      <vt:lpstr>MatP8830C20Code</vt:lpstr>
      <vt:lpstr>MatP8830C20Colour</vt:lpstr>
      <vt:lpstr>MatP8830C20Desc</vt:lpstr>
      <vt:lpstr>MatP8830C20Manufacturer</vt:lpstr>
      <vt:lpstr>MatP8830C20PerText</vt:lpstr>
      <vt:lpstr>MatP8830C20Price</vt:lpstr>
      <vt:lpstr>MatP8831C539Code</vt:lpstr>
      <vt:lpstr>MatP8831C539Colour</vt:lpstr>
      <vt:lpstr>MatP8831C539Desc</vt:lpstr>
      <vt:lpstr>MatP8831C539Manufacturer</vt:lpstr>
      <vt:lpstr>MatP8831C539PerText</vt:lpstr>
      <vt:lpstr>MatP8831C539Price</vt:lpstr>
      <vt:lpstr>MatP8838C92Code</vt:lpstr>
      <vt:lpstr>MatP8838C92Colour</vt:lpstr>
      <vt:lpstr>MatP8838C92Desc</vt:lpstr>
      <vt:lpstr>MatP8838C92Manufacturer</vt:lpstr>
      <vt:lpstr>MatP8838C92PerText</vt:lpstr>
      <vt:lpstr>MatP8838C92Price</vt:lpstr>
      <vt:lpstr>MatP8847C20Code</vt:lpstr>
      <vt:lpstr>MatP8847C20Colour</vt:lpstr>
      <vt:lpstr>MatP8847C20Desc</vt:lpstr>
      <vt:lpstr>MatP8847C20Manufacturer</vt:lpstr>
      <vt:lpstr>MatP8847C20PerText</vt:lpstr>
      <vt:lpstr>MatP8847C20Price</vt:lpstr>
      <vt:lpstr>MatP8857C0Code</vt:lpstr>
      <vt:lpstr>MatP8857C0Colour</vt:lpstr>
      <vt:lpstr>MatP8857C0Desc</vt:lpstr>
      <vt:lpstr>MatP8857C0Manufacturer</vt:lpstr>
      <vt:lpstr>MatP8857C0PerText</vt:lpstr>
      <vt:lpstr>MatP8857C0Price</vt:lpstr>
      <vt:lpstr>MatP8866C20Code</vt:lpstr>
      <vt:lpstr>MatP8866C20Colour</vt:lpstr>
      <vt:lpstr>MatP8866C20Desc</vt:lpstr>
      <vt:lpstr>MatP8866C20Manufacturer</vt:lpstr>
      <vt:lpstr>MatP8866C20PerText</vt:lpstr>
      <vt:lpstr>MatP8866C20Price</vt:lpstr>
      <vt:lpstr>MatP8869C0Code</vt:lpstr>
      <vt:lpstr>MatP8869C0Colour</vt:lpstr>
      <vt:lpstr>MatP8869C0Desc</vt:lpstr>
      <vt:lpstr>MatP8869C0Manufacturer</vt:lpstr>
      <vt:lpstr>MatP8869C0PerText</vt:lpstr>
      <vt:lpstr>MatP8869C0Price</vt:lpstr>
      <vt:lpstr>MatP8870C0Code</vt:lpstr>
      <vt:lpstr>MatP8870C0Colour</vt:lpstr>
      <vt:lpstr>MatP8870C0Desc</vt:lpstr>
      <vt:lpstr>MatP8870C0Manufacturer</vt:lpstr>
      <vt:lpstr>MatP8870C0PerText</vt:lpstr>
      <vt:lpstr>MatP8870C0Price</vt:lpstr>
      <vt:lpstr>MatP8872C539Code</vt:lpstr>
      <vt:lpstr>MatP8872C539Colour</vt:lpstr>
      <vt:lpstr>MatP8872C539Desc</vt:lpstr>
      <vt:lpstr>MatP8872C539Manufacturer</vt:lpstr>
      <vt:lpstr>MatP8872C539PerText</vt:lpstr>
      <vt:lpstr>MatP8872C539Price</vt:lpstr>
      <vt:lpstr>MatP8874C20Code</vt:lpstr>
      <vt:lpstr>MatP8874C20Colour</vt:lpstr>
      <vt:lpstr>MatP8874C20Desc</vt:lpstr>
      <vt:lpstr>MatP8874C20Manufacturer</vt:lpstr>
      <vt:lpstr>MatP8874C20PerText</vt:lpstr>
      <vt:lpstr>MatP8874C20Price</vt:lpstr>
      <vt:lpstr>MatP8877C0Code</vt:lpstr>
      <vt:lpstr>MatP8877C0Colour</vt:lpstr>
      <vt:lpstr>MatP8877C0Desc</vt:lpstr>
      <vt:lpstr>MatP8877C0Manufacturer</vt:lpstr>
      <vt:lpstr>MatP8877C0PerText</vt:lpstr>
      <vt:lpstr>MatP8877C0Price</vt:lpstr>
      <vt:lpstr>MatP8879C15Code</vt:lpstr>
      <vt:lpstr>MatP8879C15Colour</vt:lpstr>
      <vt:lpstr>MatP8879C15Desc</vt:lpstr>
      <vt:lpstr>MatP8879C15Manufacturer</vt:lpstr>
      <vt:lpstr>MatP8879C15PerText</vt:lpstr>
      <vt:lpstr>MatP8879C15Price</vt:lpstr>
      <vt:lpstr>MatP9008C0Code</vt:lpstr>
      <vt:lpstr>MatP9008C0Colour</vt:lpstr>
      <vt:lpstr>MatP9008C0Desc</vt:lpstr>
      <vt:lpstr>MatP9008C0Manufacturer</vt:lpstr>
      <vt:lpstr>MatP9008C0PerText</vt:lpstr>
      <vt:lpstr>MatP9008C0Price</vt:lpstr>
      <vt:lpstr>MatP9066C92Code</vt:lpstr>
      <vt:lpstr>MatP9066C92Colour</vt:lpstr>
      <vt:lpstr>MatP9066C92Desc</vt:lpstr>
      <vt:lpstr>MatP9066C92Manufacturer</vt:lpstr>
      <vt:lpstr>MatP9066C92PerText</vt:lpstr>
      <vt:lpstr>MatP9066C92Price</vt:lpstr>
      <vt:lpstr>MatP9100C0Code</vt:lpstr>
      <vt:lpstr>MatP9100C0Colour</vt:lpstr>
      <vt:lpstr>MatP9100C0Desc</vt:lpstr>
      <vt:lpstr>MatP9100C0Manufacturer</vt:lpstr>
      <vt:lpstr>MatP9100C0PerText</vt:lpstr>
      <vt:lpstr>MatP9100C0Price</vt:lpstr>
      <vt:lpstr>MatP9318C0Code</vt:lpstr>
      <vt:lpstr>MatP9318C0Colour</vt:lpstr>
      <vt:lpstr>MatP9318C0Desc</vt:lpstr>
      <vt:lpstr>MatP9318C0Manufacturer</vt:lpstr>
      <vt:lpstr>MatP9318C0PerText</vt:lpstr>
      <vt:lpstr>MatP9318C0Price</vt:lpstr>
      <vt:lpstr>'ALN-END-Main Roof'!PartyWall</vt:lpstr>
      <vt:lpstr>'ALN-MID-Main Roof'!PartyWall</vt:lpstr>
      <vt:lpstr>'HNB-END-Main Roof'!PartyWall</vt:lpstr>
      <vt:lpstr>'HNB-MID-Main Roof'!PartyWall</vt:lpstr>
      <vt:lpstr>'HNB-SMI-Main Roof'!PartyWall</vt:lpstr>
      <vt:lpstr>'MSL-END-Main Roof'!PartyWall</vt:lpstr>
      <vt:lpstr>'MSL-MID-Main Roof'!PartyWall</vt:lpstr>
      <vt:lpstr>'MSL-SMI-Main Roof'!PartyWall</vt:lpstr>
      <vt:lpstr>'RUF-SMI-Main Roof'!PartyWall</vt:lpstr>
      <vt:lpstr>'SOU-END-Main Roof'!PartyWall</vt:lpstr>
      <vt:lpstr>'SOU-MID-Main Roof'!PartyWall</vt:lpstr>
      <vt:lpstr>'SOU-SMI-Main Roof'!PartyWall</vt:lpstr>
      <vt:lpstr>'Z-GTWN6.7-Garage'!PartyWall</vt:lpstr>
      <vt:lpstr>'Z-GTWNPYR-Garage'!PartyWall</vt:lpstr>
      <vt:lpstr>PlotSummary</vt:lpstr>
      <vt:lpstr>'ALN-END-Main Roof'!RafterSpacing</vt:lpstr>
      <vt:lpstr>'ALN-END-Porch (Lean to)'!RafterSpacing</vt:lpstr>
      <vt:lpstr>'ALN-MID-Main Roof'!RafterSpacing</vt:lpstr>
      <vt:lpstr>'ALN-MID-Porch (Lean to)'!RafterSpacing</vt:lpstr>
      <vt:lpstr>'CHE-Main Roof'!RafterSpacing</vt:lpstr>
      <vt:lpstr>'CHE-Porch (Gable)'!RafterSpacing</vt:lpstr>
      <vt:lpstr>'CLN-Main Roof'!RafterSpacing</vt:lpstr>
      <vt:lpstr>'CLN-Porch (Gable)'!RafterSpacing</vt:lpstr>
      <vt:lpstr>'CLY-Main Roof'!RafterSpacing</vt:lpstr>
      <vt:lpstr>'CLY-Porch (Gable)'!RafterSpacing</vt:lpstr>
      <vt:lpstr>'HNB-END-Main Roof'!RafterSpacing</vt:lpstr>
      <vt:lpstr>'HNB-END-Porch (Lean to)'!RafterSpacing</vt:lpstr>
      <vt:lpstr>'HNB-MID-Main Roof'!RafterSpacing</vt:lpstr>
      <vt:lpstr>'HNB-MID-Porch (Lean to)'!RafterSpacing</vt:lpstr>
      <vt:lpstr>'HNB-SMI-Main Roof'!RafterSpacing</vt:lpstr>
      <vt:lpstr>'HNB-SMI-Porch (Lean to)'!RafterSpacing</vt:lpstr>
      <vt:lpstr>'HNB-SMI-Porch (Lean to)(1)'!RafterSpacing</vt:lpstr>
      <vt:lpstr>'HTF-Main Roof'!RafterSpacing</vt:lpstr>
      <vt:lpstr>'HTF-Porch (Lean to)'!RafterSpacing</vt:lpstr>
      <vt:lpstr>'KND-Main Roof'!RafterSpacing</vt:lpstr>
      <vt:lpstr>'KND-Porch (Lean to)'!RafterSpacing</vt:lpstr>
      <vt:lpstr>'MSL-END-Main Roof'!RafterSpacing</vt:lpstr>
      <vt:lpstr>'MSL-END-Porch (Lean to)'!RafterSpacing</vt:lpstr>
      <vt:lpstr>'MSL-MID-Main Roof'!RafterSpacing</vt:lpstr>
      <vt:lpstr>'MSL-MID-Porch (Lean to)'!RafterSpacing</vt:lpstr>
      <vt:lpstr>'MSL-SMI-Main Roof'!RafterSpacing</vt:lpstr>
      <vt:lpstr>'MSL-SMI-Porch (Lean to)'!RafterSpacing</vt:lpstr>
      <vt:lpstr>'MSL-SMI-Porch (Lean to)(1)'!RafterSpacing</vt:lpstr>
      <vt:lpstr>'ROS-Lower Level'!RafterSpacing</vt:lpstr>
      <vt:lpstr>'ROS-Main Roof'!RafterSpacing</vt:lpstr>
      <vt:lpstr>'ROS-Porch (Gable)'!RafterSpacing</vt:lpstr>
      <vt:lpstr>'RUF-DET-Lower Level'!RafterSpacing</vt:lpstr>
      <vt:lpstr>'RUF-DET-Main Roof'!RafterSpacing</vt:lpstr>
      <vt:lpstr>'RUF-SMI-Lower Level'!RafterSpacing</vt:lpstr>
      <vt:lpstr>'RUF-SMI-Lower Level(1)'!RafterSpacing</vt:lpstr>
      <vt:lpstr>'RUF-SMI-Main Roof'!RafterSpacing</vt:lpstr>
      <vt:lpstr>'SOU-END-Main Roof'!RafterSpacing</vt:lpstr>
      <vt:lpstr>'SOU-END-Porch (Lean to)'!RafterSpacing</vt:lpstr>
      <vt:lpstr>'SOU-MID-Main Roof'!RafterSpacing</vt:lpstr>
      <vt:lpstr>'SOU-MID-Porch (Lean to)'!RafterSpacing</vt:lpstr>
      <vt:lpstr>'SOU-SMI-Main Roof'!RafterSpacing</vt:lpstr>
      <vt:lpstr>'SOU-SMI-Porch (Lean to)'!RafterSpacing</vt:lpstr>
      <vt:lpstr>'TIV-Main Roof'!RafterSpacing</vt:lpstr>
      <vt:lpstr>'TIV-Porch (Gable)'!RafterSpacing</vt:lpstr>
      <vt:lpstr>'WIN-Main Roof'!RafterSpacing</vt:lpstr>
      <vt:lpstr>'WIN-Porch (Gable)'!RafterSpacing</vt:lpstr>
      <vt:lpstr>'Z-GDBL6.7-Garage'!RafterSpacing</vt:lpstr>
      <vt:lpstr>'Z-GDBLHIP-Garage'!RafterSpacing</vt:lpstr>
      <vt:lpstr>'Z-GDBLPYR-Garage'!RafterSpacing</vt:lpstr>
      <vt:lpstr>'Z-GSNG3.5-Garage'!RafterSpacing</vt:lpstr>
      <vt:lpstr>'Z-GTWN6.7-Garage'!RafterSpacing</vt:lpstr>
      <vt:lpstr>'Z-GTWNPYR-Garage'!RafterSpacing</vt:lpstr>
      <vt:lpstr>'ALN-END-Main Roof'!RightVerge</vt:lpstr>
      <vt:lpstr>'ALN-END-Porch (Lean to)'!RightVerge</vt:lpstr>
      <vt:lpstr>'ALN-MID-Porch (Lean to)'!RightVerge</vt:lpstr>
      <vt:lpstr>'CHE-Main Roof'!RightVerge</vt:lpstr>
      <vt:lpstr>'CHE-Porch (Gable)'!RightVerge</vt:lpstr>
      <vt:lpstr>'CLN-Main Roof'!RightVerge</vt:lpstr>
      <vt:lpstr>'CLN-Porch (Gable)'!RightVerge</vt:lpstr>
      <vt:lpstr>'CLY-Main Roof'!RightVerge</vt:lpstr>
      <vt:lpstr>'CLY-Porch (Gable)'!RightVerge</vt:lpstr>
      <vt:lpstr>'HNB-END-Main Roof'!RightVerge</vt:lpstr>
      <vt:lpstr>'HNB-END-Porch (Lean to)'!RightVerge</vt:lpstr>
      <vt:lpstr>'HNB-MID-Porch (Lean to)'!RightVerge</vt:lpstr>
      <vt:lpstr>'HNB-SMI-Main Roof'!RightVerge</vt:lpstr>
      <vt:lpstr>'HNB-SMI-Porch (Lean to)'!RightVerge</vt:lpstr>
      <vt:lpstr>'HNB-SMI-Porch (Lean to)(1)'!RightVerge</vt:lpstr>
      <vt:lpstr>'HTF-Main Roof'!RightVerge</vt:lpstr>
      <vt:lpstr>'HTF-Porch (Lean to)'!RightVerge</vt:lpstr>
      <vt:lpstr>'KND-Main Roof'!RightVerge</vt:lpstr>
      <vt:lpstr>'KND-Porch (Lean to)'!RightVerge</vt:lpstr>
      <vt:lpstr>'MSL-END-Main Roof'!RightVerge</vt:lpstr>
      <vt:lpstr>'MSL-END-Porch (Lean to)'!RightVerge</vt:lpstr>
      <vt:lpstr>'MSL-MID-Porch (Lean to)'!RightVerge</vt:lpstr>
      <vt:lpstr>'MSL-SMI-Main Roof'!RightVerge</vt:lpstr>
      <vt:lpstr>'MSL-SMI-Porch (Lean to)'!RightVerge</vt:lpstr>
      <vt:lpstr>'MSL-SMI-Porch (Lean to)(1)'!RightVerge</vt:lpstr>
      <vt:lpstr>'ROS-Lower Level'!RightVerge</vt:lpstr>
      <vt:lpstr>'ROS-Main Roof'!RightVerge</vt:lpstr>
      <vt:lpstr>'ROS-Porch (Gable)'!RightVerge</vt:lpstr>
      <vt:lpstr>'RUF-DET-Lower Level'!RightVerge</vt:lpstr>
      <vt:lpstr>'RUF-DET-Main Roof'!RightVerge</vt:lpstr>
      <vt:lpstr>'RUF-SMI-Lower Level'!RightVerge</vt:lpstr>
      <vt:lpstr>'RUF-SMI-Lower Level(1)'!RightVerge</vt:lpstr>
      <vt:lpstr>'RUF-SMI-Main Roof'!RightVerge</vt:lpstr>
      <vt:lpstr>'SOU-END-Main Roof'!RightVerge</vt:lpstr>
      <vt:lpstr>'SOU-END-Porch (Lean to)'!RightVerge</vt:lpstr>
      <vt:lpstr>'SOU-MID-Main Roof'!RightVerge</vt:lpstr>
      <vt:lpstr>'SOU-MID-Porch (Lean to)'!RightVerge</vt:lpstr>
      <vt:lpstr>'SOU-SMI-Main Roof'!RightVerge</vt:lpstr>
      <vt:lpstr>'SOU-SMI-Porch (Lean to)'!RightVerge</vt:lpstr>
      <vt:lpstr>'TIV-Main Roof'!RightVerge</vt:lpstr>
      <vt:lpstr>'TIV-Porch (Gable)'!RightVerge</vt:lpstr>
      <vt:lpstr>'WIN-Main Roof'!RightVerge</vt:lpstr>
      <vt:lpstr>'WIN-Porch (Gable)'!RightVerge</vt:lpstr>
      <vt:lpstr>'Z-GDBL6.7-Garage'!RightVerge</vt:lpstr>
      <vt:lpstr>'Z-GSNG3.5-Garage'!RightVerge</vt:lpstr>
      <vt:lpstr>'Z-GTWN6.7-Garage'!RightVerge</vt:lpstr>
      <vt:lpstr>sclSchedule</vt:lpstr>
      <vt:lpstr>SiteDimsPitched</vt:lpstr>
      <vt:lpstr>SiteDimsVertical</vt:lpstr>
      <vt:lpstr>SiteLabour</vt:lpstr>
      <vt:lpstr>SiteMaterials</vt:lpstr>
      <vt:lpstr>SiteName</vt:lpstr>
      <vt:lpstr>SitePivotTable</vt:lpstr>
      <vt:lpstr>SiteReference</vt:lpstr>
      <vt:lpstr>SiteScheduleTotal</vt:lpstr>
      <vt:lpstr>SiteSummaryLabourTotal</vt:lpstr>
      <vt:lpstr>SiteSummaryMaterialTotal</vt:lpstr>
      <vt:lpstr>'ALN-END-Main Roof'!Specification</vt:lpstr>
      <vt:lpstr>'ALN-END-Porch (Lean to)'!Specification</vt:lpstr>
      <vt:lpstr>'ALN-MID-Main Roof'!Specification</vt:lpstr>
      <vt:lpstr>'ALN-MID-Porch (Lean to)'!Specification</vt:lpstr>
      <vt:lpstr>'CHE-Main Roof'!Specification</vt:lpstr>
      <vt:lpstr>'CHE-Porch (Gable)'!Specification</vt:lpstr>
      <vt:lpstr>'CLN-Main Roof'!Specification</vt:lpstr>
      <vt:lpstr>'CLN-Porch (Gable)'!Specification</vt:lpstr>
      <vt:lpstr>'CLY-Main Roof'!Specification</vt:lpstr>
      <vt:lpstr>'CLY-Porch (Gable)'!Specification</vt:lpstr>
      <vt:lpstr>'HNB-END-Main Roof'!Specification</vt:lpstr>
      <vt:lpstr>'HNB-END-Porch (Lean to)'!Specification</vt:lpstr>
      <vt:lpstr>'HNB-MID-Main Roof'!Specification</vt:lpstr>
      <vt:lpstr>'HNB-MID-Porch (Lean to)'!Specification</vt:lpstr>
      <vt:lpstr>'HNB-SMI-Main Roof'!Specification</vt:lpstr>
      <vt:lpstr>'HNB-SMI-Porch (Lean to)'!Specification</vt:lpstr>
      <vt:lpstr>'HNB-SMI-Porch (Lean to)(1)'!Specification</vt:lpstr>
      <vt:lpstr>'HTF-Main Roof'!Specification</vt:lpstr>
      <vt:lpstr>'HTF-Porch (Lean to)'!Specification</vt:lpstr>
      <vt:lpstr>'KND-Main Roof'!Specification</vt:lpstr>
      <vt:lpstr>'KND-Porch (Lean to)'!Specification</vt:lpstr>
      <vt:lpstr>'MSL-END-Main Roof'!Specification</vt:lpstr>
      <vt:lpstr>'MSL-END-Porch (Lean to)'!Specification</vt:lpstr>
      <vt:lpstr>'MSL-MID-Main Roof'!Specification</vt:lpstr>
      <vt:lpstr>'MSL-MID-Porch (Lean to)'!Specification</vt:lpstr>
      <vt:lpstr>'MSL-SMI-Main Roof'!Specification</vt:lpstr>
      <vt:lpstr>'MSL-SMI-Porch (Lean to)'!Specification</vt:lpstr>
      <vt:lpstr>'MSL-SMI-Porch (Lean to)(1)'!Specification</vt:lpstr>
      <vt:lpstr>'ROS-Lower Level'!Specification</vt:lpstr>
      <vt:lpstr>'ROS-Main Roof'!Specification</vt:lpstr>
      <vt:lpstr>'ROS-Porch (Gable)'!Specification</vt:lpstr>
      <vt:lpstr>'RUF-DET-Lower Level'!Specification</vt:lpstr>
      <vt:lpstr>'RUF-DET-Main Roof'!Specification</vt:lpstr>
      <vt:lpstr>'RUF-SMI-Lower Level'!Specification</vt:lpstr>
      <vt:lpstr>'RUF-SMI-Lower Level(1)'!Specification</vt:lpstr>
      <vt:lpstr>'RUF-SMI-Main Roof'!Specification</vt:lpstr>
      <vt:lpstr>'SOU-END-Main Roof'!Specification</vt:lpstr>
      <vt:lpstr>'SOU-END-Porch (Lean to)'!Specification</vt:lpstr>
      <vt:lpstr>'SOU-MID-Main Roof'!Specification</vt:lpstr>
      <vt:lpstr>'SOU-MID-Porch (Lean to)'!Specification</vt:lpstr>
      <vt:lpstr>'SOU-SMI-Main Roof'!Specification</vt:lpstr>
      <vt:lpstr>'SOU-SMI-Porch (Lean to)'!Specification</vt:lpstr>
      <vt:lpstr>'TIV-Main Roof'!Specification</vt:lpstr>
      <vt:lpstr>'TIV-Porch (Gable)'!Specification</vt:lpstr>
      <vt:lpstr>'WIN-Main Roof'!Specification</vt:lpstr>
      <vt:lpstr>'WIN-Porch (Gable)'!Specification</vt:lpstr>
      <vt:lpstr>'Z-GDBL6.7-Garage'!Specification</vt:lpstr>
      <vt:lpstr>'Z-GDBLHIP-Garage'!Specification</vt:lpstr>
      <vt:lpstr>'Z-GDBLPYR-Garage'!Specification</vt:lpstr>
      <vt:lpstr>'Z-GSNG3.5-Garage'!Specification</vt:lpstr>
      <vt:lpstr>'Z-GTWN6.7-Garage'!Specification</vt:lpstr>
      <vt:lpstr>'Z-GTWNPYR-Garage'!Specification</vt:lpstr>
      <vt:lpstr>'ALN-END-Porch (Lean to)'!TopCourse</vt:lpstr>
      <vt:lpstr>'ALN-MID-Porch (Lean to)'!TopCourse</vt:lpstr>
      <vt:lpstr>'HNB-END-Porch (Lean to)'!TopCourse</vt:lpstr>
      <vt:lpstr>'HNB-MID-Porch (Lean to)'!TopCourse</vt:lpstr>
      <vt:lpstr>'HNB-SMI-Porch (Lean to)'!TopCourse</vt:lpstr>
      <vt:lpstr>'HNB-SMI-Porch (Lean to)(1)'!TopCourse</vt:lpstr>
      <vt:lpstr>'HTF-Porch (Lean to)'!TopCourse</vt:lpstr>
      <vt:lpstr>'KND-Porch (Lean to)'!TopCourse</vt:lpstr>
      <vt:lpstr>'MSL-END-Porch (Lean to)'!TopCourse</vt:lpstr>
      <vt:lpstr>'MSL-MID-Porch (Lean to)'!TopCourse</vt:lpstr>
      <vt:lpstr>'MSL-SMI-Porch (Lean to)'!TopCourse</vt:lpstr>
      <vt:lpstr>'MSL-SMI-Porch (Lean to)(1)'!TopCourse</vt:lpstr>
      <vt:lpstr>'ROS-Lower Level'!TopCourse</vt:lpstr>
      <vt:lpstr>'RUF-DET-Lower Level'!TopCourse</vt:lpstr>
      <vt:lpstr>'RUF-SMI-Lower Level'!TopCourse</vt:lpstr>
      <vt:lpstr>'RUF-SMI-Lower Level(1)'!TopCourse</vt:lpstr>
      <vt:lpstr>'SOU-END-Main Roof'!TopCourse</vt:lpstr>
      <vt:lpstr>'SOU-END-Porch (Lean to)'!TopCourse</vt:lpstr>
      <vt:lpstr>'SOU-MID-Main Roof'!TopCourse</vt:lpstr>
      <vt:lpstr>'SOU-MID-Porch (Lean to)'!TopCourse</vt:lpstr>
      <vt:lpstr>'SOU-SMI-Main Roof'!TopCourse</vt:lpstr>
      <vt:lpstr>'SOU-SMI-Porch (Lean to)'!TopCourse</vt:lpstr>
      <vt:lpstr>'CLN-Main Roof'!Valley</vt:lpstr>
      <vt:lpstr>'HTF-Main Roof'!Valley</vt:lpstr>
      <vt:lpstr>'KND-Main Roof'!Valley</vt:lpstr>
      <vt:lpstr>'ROS-Main Roof'!Valley</vt:lpstr>
      <vt:lpstr>'SOU-END-Main Roof'!Valley</vt:lpstr>
      <vt:lpstr>'SOU-MID-Main Roof'!Valley</vt:lpstr>
      <vt:lpstr>'SOU-SMI-Main Roof'!Valley</vt:lpstr>
      <vt:lpstr>'WIN-Main Roof'!Valley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Langler</dc:creator>
  <cp:lastModifiedBy>Andrew Frayling</cp:lastModifiedBy>
  <dcterms:created xsi:type="dcterms:W3CDTF">2014-07-10T15:09:01Z</dcterms:created>
  <dcterms:modified xsi:type="dcterms:W3CDTF">2023-03-01T11:19:21Z</dcterms:modified>
</cp:coreProperties>
</file>