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00 Finn\Marketing 2023\Example packages\Flat Roof\"/>
    </mc:Choice>
  </mc:AlternateContent>
  <xr:revisionPtr revIDLastSave="0" documentId="8_{3A12B485-AECC-4DF0-81D3-B368B35DBEC4}" xr6:coauthVersionLast="47" xr6:coauthVersionMax="47" xr10:uidLastSave="{00000000-0000-0000-0000-000000000000}"/>
  <bookViews>
    <workbookView xWindow="-120" yWindow="-120" windowWidth="29040" windowHeight="15840" xr2:uid="{9935EE24-A327-4440-A2D9-0E17941840BA}"/>
  </bookViews>
  <sheets>
    <sheet name="BOQ" sheetId="48" r:id="rId1"/>
    <sheet name="BOQ (Int)" sheetId="49" state="hidden" r:id="rId2"/>
    <sheet name="Summary" sheetId="1" r:id="rId3"/>
    <sheet name="SRES Costs" sheetId="3" r:id="rId4"/>
    <sheet name="Flat Roofing" sheetId="33" r:id="rId5"/>
  </sheets>
  <definedNames>
    <definedName name="_Key1" localSheetId="0" hidden="1">#REF!</definedName>
    <definedName name="_Key1" localSheetId="1" hidden="1">#REF!</definedName>
    <definedName name="_Key1" hidden="1">#REF!</definedName>
    <definedName name="_Order1" hidden="1">0</definedName>
    <definedName name="_Sort" localSheetId="0" hidden="1">#REF!</definedName>
    <definedName name="_Sort" localSheetId="1" hidden="1">#REF!</definedName>
    <definedName name="_Sort" hidden="1">#REF!</definedName>
    <definedName name="aa" hidden="1">{#N/A,#N/A,FALSE,"OAS";#N/A,#N/A,FALSE,"OBG";#N/A,#N/A,FALSE,"OCZ";#N/A,#N/A,FALSE,"OFR";#N/A,#N/A,FALSE,"OGR";#N/A,#N/A,FALSE,"OGY";#N/A,#N/A,FALSE,"OHY ";#N/A,#N/A,FALSE,"OLX";#N/A,#N/A,FALSE,"ONL";#N/A,#N/A,FALSE,"OPO";#N/A,#N/A,FALSE,"OPL";#N/A,#N/A,FALSE,"OSK";#N/A,#N/A,FALSE,"OSP";#N/A,#N/A,FALSE,"OSZ";#N/A,#N/A,FALSE,"OTU";#N/A,#N/A,FALSE,"OUK"}</definedName>
    <definedName name="aaa" hidden="1">{#N/A,#N/A,FALSE,"SUSTAINING"}</definedName>
    <definedName name="aaaa" hidden="1">{#N/A,#N/A,FALSE,"SUSTAINING"}</definedName>
    <definedName name="aaaaa" hidden="1">{#N/A,#N/A,FALSE,"OAS";#N/A,#N/A,FALSE,"OBG";#N/A,#N/A,FALSE,"OCZ";#N/A,#N/A,FALSE,"OFR";#N/A,#N/A,FALSE,"OGR";#N/A,#N/A,FALSE,"OGY";#N/A,#N/A,FALSE,"OHY ";#N/A,#N/A,FALSE,"OLX";#N/A,#N/A,FALSE,"ONL";#N/A,#N/A,FALSE,"OPO";#N/A,#N/A,FALSE,"OPL";#N/A,#N/A,FALSE,"OSK";#N/A,#N/A,FALSE,"OSP";#N/A,#N/A,FALSE,"OSZ";#N/A,#N/A,FALSE,"OTU";#N/A,#N/A,FALSE,"OUK"}</definedName>
    <definedName name="AAAAAA" hidden="1">{#N/A,#N/A,FALSE,"OAS";#N/A,#N/A,FALSE,"OBG";#N/A,#N/A,FALSE,"OCZ";#N/A,#N/A,FALSE,"OFR";#N/A,#N/A,FALSE,"OGR";#N/A,#N/A,FALSE,"OGY";#N/A,#N/A,FALSE,"OHY ";#N/A,#N/A,FALSE,"OLX";#N/A,#N/A,FALSE,"ONL";#N/A,#N/A,FALSE,"OPO";#N/A,#N/A,FALSE,"OPL";#N/A,#N/A,FALSE,"OSK";#N/A,#N/A,FALSE,"OSP";#N/A,#N/A,FALSE,"OSZ";#N/A,#N/A,FALSE,"OTU";#N/A,#N/A,FALSE,"OUK"}</definedName>
    <definedName name="aaaaaaa" hidden="1">{#N/A,#N/A,FALSE,"OAS";#N/A,#N/A,FALSE,"OBG";#N/A,#N/A,FALSE,"OCZ";#N/A,#N/A,FALSE,"OFR";#N/A,#N/A,FALSE,"OGR";#N/A,#N/A,FALSE,"OGY";#N/A,#N/A,FALSE,"OHY ";#N/A,#N/A,FALSE,"OLX";#N/A,#N/A,FALSE,"ONL";#N/A,#N/A,FALSE,"OPO";#N/A,#N/A,FALSE,"OPL";#N/A,#N/A,FALSE,"OSK";#N/A,#N/A,FALSE,"OSP";#N/A,#N/A,FALSE,"OSZ";#N/A,#N/A,FALSE,"OTU";#N/A,#N/A,FALSE,"OUK"}</definedName>
    <definedName name="aaaaaaaa" hidden="1">{#N/A,#N/A,FALSE,"OAS";#N/A,#N/A,FALSE,"OBG";#N/A,#N/A,FALSE,"OCZ";#N/A,#N/A,FALSE,"OFR";#N/A,#N/A,FALSE,"OGR";#N/A,#N/A,FALSE,"OGY";#N/A,#N/A,FALSE,"OHY ";#N/A,#N/A,FALSE,"OLX";#N/A,#N/A,FALSE,"ONL";#N/A,#N/A,FALSE,"OPO";#N/A,#N/A,FALSE,"OPL";#N/A,#N/A,FALSE,"OSK";#N/A,#N/A,FALSE,"OSP";#N/A,#N/A,FALSE,"OSZ";#N/A,#N/A,FALSE,"OTU";#N/A,#N/A,FALSE,"OUK"}</definedName>
    <definedName name="aaaaaaaaa" hidden="1">{#N/A,#N/A,FALSE,"MAINTENANCE"}</definedName>
    <definedName name="aaaaaaaaaa" hidden="1">{#N/A,#N/A,FALSE,"ORGANISATION"}</definedName>
    <definedName name="aaaaaaaaaaa" hidden="1">{#N/A,#N/A,FALSE,"SITE NUMBERS 1995"}</definedName>
    <definedName name="aaaaaaaaaaaa" hidden="1">{#N/A,#N/A,FALSE,"SITE NUMBERS 1996"}</definedName>
    <definedName name="aaaaaaaaaaaaa" hidden="1">{#N/A,#N/A,FALSE,"SUSTAINING"}</definedName>
    <definedName name="aaaaaaaaaaaaaa" hidden="1">{#N/A,#N/A,FALSE,"ORGANISATION"}</definedName>
    <definedName name="boqFifthFloor" localSheetId="1">'BOQ (Int)'!$F$67</definedName>
    <definedName name="boqFifthFloor">BOQ!#REF!</definedName>
    <definedName name="boqFirstFloor" localSheetId="1">'BOQ (Int)'!$F$31</definedName>
    <definedName name="boqFirstFloor">BOQ!$F$33</definedName>
    <definedName name="boqForthFloor" localSheetId="1">'BOQ (Int)'!$F$58</definedName>
    <definedName name="boqForthFloor">BOQ!#REF!</definedName>
    <definedName name="boqMainRoof" localSheetId="1">'BOQ (Int)'!$F$95</definedName>
    <definedName name="boqMainRoof">BOQ!#REF!</definedName>
    <definedName name="boqMezzanine" localSheetId="1">'BOQ (Int)'!$F$22</definedName>
    <definedName name="boqMezzanine">BOQ!$F$34</definedName>
    <definedName name="boqSecondFloor" localSheetId="1">'BOQ (Int)'!$F$40</definedName>
    <definedName name="boqSecondFloor">BOQ!#REF!</definedName>
    <definedName name="boqSeventhFloor" localSheetId="1">'BOQ (Int)'!$F$85</definedName>
    <definedName name="boqSeventhFloor">BOQ!#REF!</definedName>
    <definedName name="boqSixthFloor" localSheetId="1">'BOQ (Int)'!$F$76</definedName>
    <definedName name="boqSixthFloor">BOQ!#REF!</definedName>
    <definedName name="boqTextDrip">'SRES Costs'!#REF!</definedName>
    <definedName name="boqTextInsulationTapered">'SRES Costs'!$C$34</definedName>
    <definedName name="boqTextInsulationUpstand">'SRES Costs'!$C$43</definedName>
    <definedName name="boqTextPaving">'SRES Costs'!#REF!</definedName>
    <definedName name="boqTextWaterproofingCold">'SRES Costs'!$C$23</definedName>
    <definedName name="boqTextWaterproofingUpstand">'SRES Costs'!$C$53</definedName>
    <definedName name="boqTextWaterproofingWarm">'SRES Costs'!$C$13</definedName>
    <definedName name="boqThirdFloor" localSheetId="1">'BOQ (Int)'!$F$49</definedName>
    <definedName name="boqThirdFloor">BOQ!#REF!</definedName>
    <definedName name="BSIWhichPageSetup" hidden="1">1</definedName>
    <definedName name="BSIWhichPageSetup_0" hidden="1">"0þ"</definedName>
    <definedName name="F" hidden="1">{#N/A,#N/A,FALSE,"SUSTAINING"}</definedName>
    <definedName name="FlatSystemNAme">'SRES Costs'!$B$1</definedName>
    <definedName name="G" hidden="1">{#N/A,#N/A,FALSE,"SUSTAINING"}</definedName>
    <definedName name="gen" hidden="1">{#N/A,#N/A,FALSE,"MAINTENANCE"}</definedName>
    <definedName name="gg" hidden="1">{#N/A,#N/A,FALSE,"SUSTAINING"}</definedName>
    <definedName name="GGGGGG" hidden="1">{#N/A,#N/A,FALSE,"OAS";#N/A,#N/A,FALSE,"OBG";#N/A,#N/A,FALSE,"OCZ";#N/A,#N/A,FALSE,"OFR";#N/A,#N/A,FALSE,"OGR";#N/A,#N/A,FALSE,"OGY";#N/A,#N/A,FALSE,"OHY ";#N/A,#N/A,FALSE,"OLX";#N/A,#N/A,FALSE,"ONL";#N/A,#N/A,FALSE,"OPO";#N/A,#N/A,FALSE,"OPL";#N/A,#N/A,FALSE,"OSK";#N/A,#N/A,FALSE,"OSP";#N/A,#N/A,FALSE,"OSZ";#N/A,#N/A,FALSE,"OTU";#N/A,#N/A,FALSE,"OUK"}</definedName>
    <definedName name="hshfdssfsfd" hidden="1">{#N/A,#N/A,FALSE,"MAINTENANCE"}</definedName>
    <definedName name="HTML_CodePage" hidden="1">1252</definedName>
    <definedName name="HTML_Control" hidden="1">{"'Elemental'!$A$1:$A$2"}</definedName>
    <definedName name="HTML_Description" hidden="1">""</definedName>
    <definedName name="HTML_Email" hidden="1">""</definedName>
    <definedName name="HTML_Header" hidden="1">"Comparable Office Construction Costs"</definedName>
    <definedName name="HTML_LastUpdate" hidden="1">"21/12/99"</definedName>
    <definedName name="HTML_LineAfter" hidden="1">FALSE</definedName>
    <definedName name="HTML_LineBefore" hidden="1">FALSE</definedName>
    <definedName name="HTML_Name" hidden="1">"Alison Glynn-Baker"</definedName>
    <definedName name="HTML_OBDlg2" hidden="1">TRUE</definedName>
    <definedName name="HTML_OBDlg4" hidden="1">TRUE</definedName>
    <definedName name="HTML_OS" hidden="1">0</definedName>
    <definedName name="HTML_PathFile" hidden="1">"X:\web\DOCS\Northcroft\Cost Planning\dec99.htm"</definedName>
    <definedName name="HTML_Title" hidden="1">"Cost Planning Bulletin"</definedName>
    <definedName name="hwk" hidden="1">{#N/A,#N/A,FALSE,"OAS";#N/A,#N/A,FALSE,"OBG";#N/A,#N/A,FALSE,"OCZ";#N/A,#N/A,FALSE,"OFR";#N/A,#N/A,FALSE,"OGR";#N/A,#N/A,FALSE,"OGY";#N/A,#N/A,FALSE,"OHY ";#N/A,#N/A,FALSE,"OLX";#N/A,#N/A,FALSE,"ONL";#N/A,#N/A,FALSE,"OPO";#N/A,#N/A,FALSE,"OPL";#N/A,#N/A,FALSE,"OSK";#N/A,#N/A,FALSE,"OSP";#N/A,#N/A,FALSE,"OSZ";#N/A,#N/A,FALSE,"OTU";#N/A,#N/A,FALSE,"OUK"}</definedName>
    <definedName name="ITEMTOTAL">#REF!</definedName>
    <definedName name="J" hidden="1">{#N/A,#N/A,FALSE,"ORGANISATION"}</definedName>
    <definedName name="kk" localSheetId="0" hidden="1">#REF!</definedName>
    <definedName name="kk" localSheetId="1" hidden="1">#REF!</definedName>
    <definedName name="kk" hidden="1">#REF!</definedName>
    <definedName name="MARBLE" hidden="1">{#N/A,#N/A,FALSE,"SITE NUMBERS 1995"}</definedName>
    <definedName name="_xlnm.Print_Area" localSheetId="0">BOQ!$A$1:$F$33</definedName>
    <definedName name="_xlnm.Print_Area" localSheetId="1">'BOQ (Int)'!$A$1:$F$31</definedName>
    <definedName name="_xlnm.Print_Titles" localSheetId="0">BOQ!$1:$3</definedName>
    <definedName name="_xlnm.Print_Titles" localSheetId="1">'BOQ (Int)'!$1:$3</definedName>
    <definedName name="QQQQQ" hidden="1">{#N/A,#N/A,FALSE,"SUSTAINING"}</definedName>
    <definedName name="RateDripstandAreaLab">'SRES Costs'!#REF!</definedName>
    <definedName name="RateDripstandAreaMat">'SRES Costs'!#REF!</definedName>
    <definedName name="RateDripstandLinTotalLab">'SRES Costs'!$G$82</definedName>
    <definedName name="RateDripstandLinTotalMat">'SRES Costs'!$D$82</definedName>
    <definedName name="RateInsulationTaperedLab">'SRES Costs'!$G$33</definedName>
    <definedName name="RateInsulationTaperedMat">'SRES Costs'!$D$33</definedName>
    <definedName name="RateInsulationUpstandBoardLab">'SRES Costs'!$G$42</definedName>
    <definedName name="RateInsulationUpstandBoardMat">'SRES Costs'!$D$42</definedName>
    <definedName name="RatePavingLab">'SRES Costs'!#REF!</definedName>
    <definedName name="RatePavingMat">'SRES Costs'!#REF!</definedName>
    <definedName name="RateRwoLab">'SRES Costs'!#REF!</definedName>
    <definedName name="RateRwoMat">'SRES Costs'!#REF!</definedName>
    <definedName name="RateSiteDripEdge">'Flat Roofing'!$M$7</definedName>
    <definedName name="RateSiteLiftAreaInsulation">'Flat Roofing'!#REF!</definedName>
    <definedName name="RateSiteLiftAreaWaterproofing">'Flat Roofing'!#REF!</definedName>
    <definedName name="RateSiteLiftInsulation">'Flat Roofing'!#REF!</definedName>
    <definedName name="RateSiteLiftUpstandWaterproofing">'Flat Roofing'!#REF!</definedName>
    <definedName name="RateSiteMainAreaInsulation">'Flat Roofing'!$F$7</definedName>
    <definedName name="RateSiteMainAreaWaterproofing">'Flat Roofing'!$E$7</definedName>
    <definedName name="RateSiteMainUpstandToParapetInsulation">'Flat Roofing'!$J$7</definedName>
    <definedName name="RateSiteMainUpstandToParapetWaterproofing">'Flat Roofing'!$I$7</definedName>
    <definedName name="RateSiteMainUpstandToWallsInsulation">'Flat Roofing'!$L$7</definedName>
    <definedName name="RateSiteMainUpstandToWallsWaterproofing">'Flat Roofing'!$K$7</definedName>
    <definedName name="RateSiteOtherPaving">'Flat Roofing'!#REF!</definedName>
    <definedName name="RateSiteOtherRainWaterOutlets">'Flat Roofing'!#REF!</definedName>
    <definedName name="RateSiteTerraceAreaInsulation">'Flat Roofing'!#REF!</definedName>
    <definedName name="RateSiteTerraceAreaWaterproofing">'Flat Roofing'!#REF!</definedName>
    <definedName name="RateSiteTerraceParapetUpstandInsulation">'Flat Roofing'!#REF!</definedName>
    <definedName name="RateSiteTerraceParapetUpstandToWallInsulation">'Flat Roofing'!#REF!</definedName>
    <definedName name="RateSiteTerraceParapetUpstandToWallWaterproofing">'Flat Roofing'!#REF!</definedName>
    <definedName name="RateSiteTerraceParapetUpstandWaterproofing">'Flat Roofing'!#REF!</definedName>
    <definedName name="RateSiteTerraceThresholdInsulation">'Flat Roofing'!#REF!</definedName>
    <definedName name="RateSiteTerraceThresholdWaterproofing">'Flat Roofing'!#REF!</definedName>
    <definedName name="RateUpstandLab">'SRES Costs'!$G$52</definedName>
    <definedName name="RateUpstandMat">'SRES Costs'!$D$52</definedName>
    <definedName name="RateWaterproofingcoldLab">'SRES Costs'!$G$21</definedName>
    <definedName name="RateWaterproofingColdMat">'SRES Costs'!$D$21</definedName>
    <definedName name="RateWaterproofingWarmLab">'SRES Costs'!$G$12</definedName>
    <definedName name="RateWaterproofingWarmMat">'SRES Costs'!$D$12</definedName>
    <definedName name="SGB" hidden="1">{#N/A,#N/A,FALSE,"OAS";#N/A,#N/A,FALSE,"OBG";#N/A,#N/A,FALSE,"OCZ";#N/A,#N/A,FALSE,"OFR";#N/A,#N/A,FALSE,"OGR";#N/A,#N/A,FALSE,"OGY";#N/A,#N/A,FALSE,"OHY ";#N/A,#N/A,FALSE,"OLX";#N/A,#N/A,FALSE,"ONL";#N/A,#N/A,FALSE,"OPO";#N/A,#N/A,FALSE,"OPL";#N/A,#N/A,FALSE,"OSK";#N/A,#N/A,FALSE,"OSP";#N/A,#N/A,FALSE,"OSZ";#N/A,#N/A,FALSE,"OTU";#N/A,#N/A,FALSE,"OUK"}</definedName>
    <definedName name="SiteSummaryMargin">'Flat Roofing'!$C$9</definedName>
    <definedName name="ss" localSheetId="0" hidden="1">#REF!</definedName>
    <definedName name="ss" localSheetId="1" hidden="1">#REF!</definedName>
    <definedName name="ss" hidden="1">#REF!</definedName>
    <definedName name="SSSSS" hidden="1">{#N/A,#N/A,FALSE,"OAS";#N/A,#N/A,FALSE,"OBG";#N/A,#N/A,FALSE,"OCZ";#N/A,#N/A,FALSE,"OFR";#N/A,#N/A,FALSE,"OGR";#N/A,#N/A,FALSE,"OGY";#N/A,#N/A,FALSE,"OHY ";#N/A,#N/A,FALSE,"OLX";#N/A,#N/A,FALSE,"ONL";#N/A,#N/A,FALSE,"OPO";#N/A,#N/A,FALSE,"OPL";#N/A,#N/A,FALSE,"OSK";#N/A,#N/A,FALSE,"OSP";#N/A,#N/A,FALSE,"OSZ";#N/A,#N/A,FALSE,"OTU";#N/A,#N/A,FALSE,"OUK"}</definedName>
    <definedName name="STONE" hidden="1">{#N/A,#N/A,FALSE,"ORGANISATION"}</definedName>
    <definedName name="t" hidden="1">{#N/A,#N/A,FALSE,"SUSTAINING"}</definedName>
    <definedName name="tttttt" hidden="1">{#N/A,#N/A,FALSE,"OAS";#N/A,#N/A,FALSE,"OBG";#N/A,#N/A,FALSE,"OCZ";#N/A,#N/A,FALSE,"OFR";#N/A,#N/A,FALSE,"OGR";#N/A,#N/A,FALSE,"OGY";#N/A,#N/A,FALSE,"OHY ";#N/A,#N/A,FALSE,"OLX";#N/A,#N/A,FALSE,"ONL";#N/A,#N/A,FALSE,"OPO";#N/A,#N/A,FALSE,"OPL";#N/A,#N/A,FALSE,"OSK";#N/A,#N/A,FALSE,"OSP";#N/A,#N/A,FALSE,"OSZ";#N/A,#N/A,FALSE,"OTU";#N/A,#N/A,FALSE,"OUK"}</definedName>
    <definedName name="VISIT" hidden="1">{#N/A,#N/A,FALSE,"MAINTENANCE"}</definedName>
    <definedName name="wrn.Cost._.Plan._.Report." hidden="1">{"Summary",#N/A,TRUE,"Summary";"Cost Plan",#N/A,TRUE,"Cost Plan"}</definedName>
    <definedName name="wrn.EST." hidden="1">{"page 1",#N/A,FALSE,"page 1";"page 2",#N/A,FALSE,"page 2";"page 3",#N/A,FALSE,"page 3";"page 4",#N/A,FALSE,"page 4";"page 5",#N/A,FALSE,"page 5";"page 6",#N/A,FALSE,"page 6";"page 7",#N/A,FALSE,"page 7";"page 8",#N/A,FALSE,"page 8";"page 9",#N/A,FALSE,"page 9";"page 10",#N/A,FALSE,"page 10";"page 11",#N/A,FALSE,"page11";"sheet 1",#N/A,FALSE,"Sheet 1";"sheet 2",#N/A,FALSE,"Sheet 2";"sheet 3",#N/A,FALSE,"Sheet 3";"page 12",#N/A,FALSE,"page 12";"sheet 4",#N/A,FALSE,"Sheet 4";"sheet 5",#N/A,FALSE,"Sheet 5";"sheet 6",#N/A,FALSE,"Sheet 6";"page 13",#N/A,FALSE,"page 13"}</definedName>
    <definedName name="wrn.LOCAL._.CURRENCY." hidden="1">{#N/A,#N/A,FALSE,"OAS";#N/A,#N/A,FALSE,"OBG";#N/A,#N/A,FALSE,"OCZ";#N/A,#N/A,FALSE,"OFR";#N/A,#N/A,FALSE,"OGR";#N/A,#N/A,FALSE,"OGY";#N/A,#N/A,FALSE,"OHY ";#N/A,#N/A,FALSE,"OLX";#N/A,#N/A,FALSE,"ONL";#N/A,#N/A,FALSE,"OPO";#N/A,#N/A,FALSE,"OPL";#N/A,#N/A,FALSE,"OSK";#N/A,#N/A,FALSE,"OSP";#N/A,#N/A,FALSE,"OSZ";#N/A,#N/A,FALSE,"OTU";#N/A,#N/A,FALSE,"OUK"}</definedName>
    <definedName name="wrn.LOCAL._.CURRENCY1" hidden="1">{#N/A,#N/A,FALSE,"OAS";#N/A,#N/A,FALSE,"OBG";#N/A,#N/A,FALSE,"OCZ";#N/A,#N/A,FALSE,"OFR";#N/A,#N/A,FALSE,"OGR";#N/A,#N/A,FALSE,"OGY";#N/A,#N/A,FALSE,"OHY ";#N/A,#N/A,FALSE,"OLX";#N/A,#N/A,FALSE,"ONL";#N/A,#N/A,FALSE,"OPO";#N/A,#N/A,FALSE,"OPL";#N/A,#N/A,FALSE,"OSK";#N/A,#N/A,FALSE,"OSP";#N/A,#N/A,FALSE,"OSZ";#N/A,#N/A,FALSE,"OTU";#N/A,#N/A,FALSE,"OUK"}</definedName>
    <definedName name="wrn.MAINTENANCE." hidden="1">{#N/A,#N/A,FALSE,"MAINTENANCE"}</definedName>
    <definedName name="wrn.ORGANISATION." hidden="1">{#N/A,#N/A,FALSE,"ORGANISATION"}</definedName>
    <definedName name="wrn.SITE._.NUMBERS._.1995." hidden="1">{#N/A,#N/A,FALSE,"SITE NUMBERS 1995"}</definedName>
    <definedName name="wrn.SITE._.NUMBERS._.1996." hidden="1">{#N/A,#N/A,FALSE,"SITE NUMBERS 1996"}</definedName>
    <definedName name="wrn.SUATINING." hidden="1">{#N/A,#N/A,FALSE,"SUSTAINING"}</definedName>
    <definedName name="WWWWWW" hidden="1">{#N/A,#N/A,FALSE,"SITE NUMBERS 1996"}</definedName>
    <definedName name="x" hidden="1">{#N/A,#N/A,FALSE,"ORGANISATION"}</definedName>
    <definedName name="XXXXXX" hidden="1">{#N/A,#N/A,FALSE,"OAS";#N/A,#N/A,FALSE,"OBG";#N/A,#N/A,FALSE,"OCZ";#N/A,#N/A,FALSE,"OFR";#N/A,#N/A,FALSE,"OGR";#N/A,#N/A,FALSE,"OGY";#N/A,#N/A,FALSE,"OHY ";#N/A,#N/A,FALSE,"OLX";#N/A,#N/A,FALSE,"ONL";#N/A,#N/A,FALSE,"OPO";#N/A,#N/A,FALSE,"OPL";#N/A,#N/A,FALSE,"OSK";#N/A,#N/A,FALSE,"OSP";#N/A,#N/A,FALSE,"OSZ";#N/A,#N/A,FALSE,"OTU";#N/A,#N/A,FALSE,"OUK"}</definedName>
    <definedName name="Y" hidden="1">{#N/A,#N/A,FALSE,"ORGANISATION"}</definedName>
    <definedName name="zz" hidden="1">{#N/A,#N/A,FALSE,"SUSTAINING"}</definedName>
    <definedName name="zzz" hidden="1">{#N/A,#N/A,FALSE,"OAS";#N/A,#N/A,FALSE,"OBG";#N/A,#N/A,FALSE,"OCZ";#N/A,#N/A,FALSE,"OFR";#N/A,#N/A,FALSE,"OGR";#N/A,#N/A,FALSE,"OGY";#N/A,#N/A,FALSE,"OHY ";#N/A,#N/A,FALSE,"OLX";#N/A,#N/A,FALSE,"ONL";#N/A,#N/A,FALSE,"OPO";#N/A,#N/A,FALSE,"OPL";#N/A,#N/A,FALSE,"OSK";#N/A,#N/A,FALSE,"OSP";#N/A,#N/A,FALSE,"OSZ";#N/A,#N/A,FALSE,"OTU";#N/A,#N/A,FALSE,"OUK"}</definedName>
    <definedName name="zzzz" hidden="1">{#N/A,#N/A,FALSE,"OAS";#N/A,#N/A,FALSE,"OBG";#N/A,#N/A,FALSE,"OCZ";#N/A,#N/A,FALSE,"OFR";#N/A,#N/A,FALSE,"OGR";#N/A,#N/A,FALSE,"OGY";#N/A,#N/A,FALSE,"OHY ";#N/A,#N/A,FALSE,"OLX";#N/A,#N/A,FALSE,"ONL";#N/A,#N/A,FALSE,"OPO";#N/A,#N/A,FALSE,"OPL";#N/A,#N/A,FALSE,"OSK";#N/A,#N/A,FALSE,"OSP";#N/A,#N/A,FALSE,"OSZ";#N/A,#N/A,FALSE,"OTU";#N/A,#N/A,FALSE,"OUK"}</definedName>
    <definedName name="zzzzz" hidden="1">{#N/A,#N/A,FALSE,"OAS";#N/A,#N/A,FALSE,"OBG";#N/A,#N/A,FALSE,"OCZ";#N/A,#N/A,FALSE,"OFR";#N/A,#N/A,FALSE,"OGR";#N/A,#N/A,FALSE,"OGY";#N/A,#N/A,FALSE,"OHY ";#N/A,#N/A,FALSE,"OLX";#N/A,#N/A,FALSE,"ONL";#N/A,#N/A,FALSE,"OPO";#N/A,#N/A,FALSE,"OPL";#N/A,#N/A,FALSE,"OSK";#N/A,#N/A,FALSE,"OSP";#N/A,#N/A,FALSE,"OSZ";#N/A,#N/A,FALSE,"OTU";#N/A,#N/A,FALSE,"OUK"}</definedName>
    <definedName name="zzzzzz" hidden="1">{#N/A,#N/A,FALSE,"MAINTENANCE"}</definedName>
    <definedName name="zzzzzzz" hidden="1">{#N/A,#N/A,FALSE,"ORGANISATION"}</definedName>
    <definedName name="zzzzzzzz" hidden="1">{#N/A,#N/A,FALSE,"SITE NUMBERS 1995"}</definedName>
    <definedName name="zzzzzzzzz" hidden="1">{#N/A,#N/A,FALSE,"SITE NUMBERS 1996"}</definedName>
    <definedName name="zzzzzzzzzz" hidden="1">{#N/A,#N/A,FALSE,"SUSTAINING"}</definedName>
    <definedName name="zzzzzzzzzzz" hidden="1">{#N/A,#N/A,FALSE,"ORGANISATION"}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33" l="1"/>
  <c r="C13" i="3"/>
  <c r="B26" i="48"/>
  <c r="B25" i="48"/>
  <c r="E25" i="48"/>
  <c r="F25" i="33"/>
  <c r="E25" i="33"/>
  <c r="G24" i="33"/>
  <c r="G17" i="33"/>
  <c r="G18" i="33"/>
  <c r="G16" i="33"/>
  <c r="G14" i="33"/>
  <c r="G13" i="33"/>
  <c r="G12" i="33"/>
  <c r="G11" i="33"/>
  <c r="G10" i="33"/>
  <c r="C9" i="33"/>
  <c r="G9" i="33"/>
  <c r="G8" i="33"/>
  <c r="G7" i="33"/>
  <c r="F24" i="33"/>
  <c r="C24" i="48"/>
  <c r="F17" i="33"/>
  <c r="F18" i="33"/>
  <c r="F16" i="33"/>
  <c r="F12" i="33"/>
  <c r="F11" i="33"/>
  <c r="F14" i="33"/>
  <c r="F13" i="33"/>
  <c r="F10" i="33"/>
  <c r="F9" i="33"/>
  <c r="F8" i="33"/>
  <c r="F7" i="33"/>
  <c r="E24" i="48"/>
  <c r="F24" i="48"/>
  <c r="E24" i="33"/>
  <c r="C23" i="48"/>
  <c r="E17" i="33"/>
  <c r="E12" i="33"/>
  <c r="E18" i="33"/>
  <c r="E16" i="33"/>
  <c r="E11" i="33"/>
  <c r="E14" i="33"/>
  <c r="E13" i="33"/>
  <c r="E10" i="33"/>
  <c r="E9" i="33"/>
  <c r="E8" i="33"/>
  <c r="E7" i="33"/>
  <c r="E23" i="48"/>
  <c r="F23" i="48"/>
  <c r="H24" i="33"/>
  <c r="C25" i="48"/>
  <c r="H17" i="33"/>
  <c r="H12" i="33"/>
  <c r="H18" i="33"/>
  <c r="H16" i="33"/>
  <c r="H11" i="33"/>
  <c r="H14" i="33"/>
  <c r="H13" i="33"/>
  <c r="H10" i="33"/>
  <c r="H9" i="33"/>
  <c r="H8" i="33"/>
  <c r="H7" i="33"/>
  <c r="F25" i="48"/>
  <c r="I24" i="33"/>
  <c r="C26" i="48"/>
  <c r="I17" i="33"/>
  <c r="I12" i="33"/>
  <c r="I18" i="33"/>
  <c r="I16" i="33"/>
  <c r="I11" i="33"/>
  <c r="I14" i="33"/>
  <c r="I13" i="33"/>
  <c r="I10" i="33"/>
  <c r="I9" i="33"/>
  <c r="I8" i="33"/>
  <c r="I7" i="33"/>
  <c r="E26" i="48"/>
  <c r="F26" i="48"/>
  <c r="J24" i="33"/>
  <c r="C27" i="48"/>
  <c r="J17" i="33"/>
  <c r="J12" i="33"/>
  <c r="J18" i="33"/>
  <c r="J16" i="33"/>
  <c r="J11" i="33"/>
  <c r="J14" i="33"/>
  <c r="J13" i="33"/>
  <c r="J10" i="33"/>
  <c r="J9" i="33"/>
  <c r="J8" i="33"/>
  <c r="J7" i="33"/>
  <c r="E27" i="48"/>
  <c r="F27" i="48"/>
  <c r="K24" i="33"/>
  <c r="C28" i="48"/>
  <c r="K17" i="33"/>
  <c r="K12" i="33"/>
  <c r="K18" i="33"/>
  <c r="K16" i="33"/>
  <c r="K11" i="33"/>
  <c r="K14" i="33"/>
  <c r="K13" i="33"/>
  <c r="K10" i="33"/>
  <c r="K9" i="33"/>
  <c r="K8" i="33"/>
  <c r="K7" i="33"/>
  <c r="E28" i="48"/>
  <c r="F28" i="48"/>
  <c r="L24" i="33"/>
  <c r="C29" i="48"/>
  <c r="L17" i="33"/>
  <c r="L12" i="33"/>
  <c r="L18" i="33"/>
  <c r="L16" i="33"/>
  <c r="L11" i="33"/>
  <c r="L14" i="33"/>
  <c r="L13" i="33"/>
  <c r="L10" i="33"/>
  <c r="L9" i="33"/>
  <c r="L8" i="33"/>
  <c r="L7" i="33"/>
  <c r="E29" i="48"/>
  <c r="F29" i="48"/>
  <c r="M24" i="33"/>
  <c r="C30" i="48"/>
  <c r="M17" i="33"/>
  <c r="M12" i="33"/>
  <c r="M18" i="33"/>
  <c r="M16" i="33"/>
  <c r="M11" i="33"/>
  <c r="M14" i="33"/>
  <c r="M13" i="33"/>
  <c r="M10" i="33"/>
  <c r="M9" i="33"/>
  <c r="M8" i="33"/>
  <c r="M7" i="33"/>
  <c r="E30" i="48"/>
  <c r="F30" i="48"/>
  <c r="N24" i="33"/>
  <c r="C31" i="48"/>
  <c r="N17" i="33"/>
  <c r="N12" i="33"/>
  <c r="N18" i="33"/>
  <c r="N16" i="33"/>
  <c r="N11" i="33"/>
  <c r="N14" i="33"/>
  <c r="N13" i="33"/>
  <c r="N10" i="33"/>
  <c r="N9" i="33"/>
  <c r="N8" i="33"/>
  <c r="N7" i="33"/>
  <c r="E31" i="48"/>
  <c r="F31" i="48"/>
  <c r="O24" i="33"/>
  <c r="C32" i="48"/>
  <c r="O17" i="33"/>
  <c r="O12" i="33"/>
  <c r="O18" i="33"/>
  <c r="O16" i="33"/>
  <c r="O11" i="33"/>
  <c r="O14" i="33"/>
  <c r="O13" i="33"/>
  <c r="O10" i="33"/>
  <c r="O9" i="33"/>
  <c r="O8" i="33"/>
  <c r="O7" i="33"/>
  <c r="E32" i="48"/>
  <c r="F32" i="48"/>
  <c r="F33" i="48"/>
  <c r="F35" i="48"/>
  <c r="F56" i="48"/>
  <c r="F58" i="48"/>
  <c r="F57" i="48"/>
  <c r="F39" i="48"/>
  <c r="F40" i="48"/>
  <c r="F41" i="48"/>
  <c r="F42" i="48"/>
  <c r="F43" i="48"/>
  <c r="F44" i="48"/>
  <c r="F45" i="48"/>
  <c r="F46" i="48"/>
  <c r="F47" i="48"/>
  <c r="F48" i="48"/>
  <c r="F49" i="48"/>
  <c r="F50" i="48"/>
  <c r="F51" i="48"/>
  <c r="F52" i="48"/>
  <c r="F53" i="48"/>
  <c r="A39" i="48"/>
  <c r="B53" i="48"/>
  <c r="A40" i="48"/>
  <c r="A41" i="48"/>
  <c r="A42" i="48"/>
  <c r="A43" i="48"/>
  <c r="A44" i="48"/>
  <c r="A45" i="48"/>
  <c r="A46" i="48"/>
  <c r="A47" i="48"/>
  <c r="A48" i="48"/>
  <c r="A49" i="48"/>
  <c r="A50" i="48"/>
  <c r="A51" i="48"/>
  <c r="A52" i="48"/>
  <c r="C38" i="48"/>
  <c r="C23" i="3"/>
  <c r="B28" i="48"/>
  <c r="C62" i="3"/>
  <c r="C53" i="3"/>
  <c r="C34" i="3"/>
  <c r="C43" i="3"/>
  <c r="C75" i="3"/>
  <c r="G60" i="3"/>
  <c r="D60" i="3"/>
  <c r="D52" i="3"/>
  <c r="G52" i="3"/>
  <c r="D42" i="3"/>
  <c r="G42" i="3"/>
  <c r="G33" i="3"/>
  <c r="D33" i="3"/>
  <c r="G12" i="3"/>
  <c r="D12" i="3"/>
  <c r="I13" i="1"/>
  <c r="H14" i="1"/>
  <c r="I14" i="1"/>
  <c r="I15" i="1"/>
  <c r="I16" i="1"/>
  <c r="I17" i="1"/>
  <c r="I18" i="1"/>
  <c r="I19" i="1"/>
  <c r="I20" i="1"/>
  <c r="I21" i="1"/>
  <c r="I22" i="1"/>
  <c r="I23" i="1"/>
  <c r="I24" i="1"/>
  <c r="I25" i="1"/>
  <c r="I12" i="1"/>
  <c r="H12" i="1"/>
  <c r="H13" i="1"/>
  <c r="H15" i="1"/>
  <c r="H16" i="1"/>
  <c r="H17" i="1"/>
  <c r="H18" i="1"/>
  <c r="H19" i="1"/>
  <c r="H20" i="1"/>
  <c r="H21" i="1"/>
  <c r="H22" i="1"/>
  <c r="H23" i="1"/>
  <c r="H24" i="1"/>
  <c r="H25" i="1"/>
  <c r="B29" i="48"/>
  <c r="B27" i="48"/>
  <c r="A23" i="48"/>
  <c r="A24" i="48"/>
  <c r="A25" i="48"/>
  <c r="A26" i="48"/>
  <c r="A27" i="48"/>
  <c r="A28" i="48"/>
  <c r="A29" i="48"/>
  <c r="A30" i="48"/>
  <c r="A31" i="48"/>
  <c r="A32" i="48"/>
  <c r="D25" i="48"/>
  <c r="D26" i="48"/>
  <c r="D32" i="48"/>
  <c r="D31" i="48"/>
  <c r="C22" i="48"/>
  <c r="B32" i="48" a="1"/>
  <c r="B32" i="48"/>
  <c r="B31" i="48"/>
  <c r="D30" i="48"/>
  <c r="B30" i="48"/>
  <c r="D29" i="48"/>
  <c r="D28" i="48"/>
  <c r="G82" i="3"/>
  <c r="D82" i="3"/>
  <c r="D51" i="3"/>
  <c r="D27" i="48"/>
  <c r="D11" i="3"/>
  <c r="B24" i="48"/>
  <c r="D24" i="48"/>
  <c r="D23" i="48"/>
  <c r="C6" i="1"/>
  <c r="Q11" i="33"/>
  <c r="B2" i="33"/>
  <c r="D6" i="1"/>
  <c r="Q13" i="33"/>
  <c r="B3" i="33"/>
  <c r="E6" i="1"/>
  <c r="F6" i="1"/>
  <c r="E7" i="1"/>
  <c r="A21" i="48"/>
  <c r="D7" i="1"/>
  <c r="G6" i="1"/>
  <c r="H6" i="1"/>
  <c r="I6" i="1"/>
  <c r="I7" i="1"/>
  <c r="I27" i="1"/>
  <c r="I31" i="1"/>
  <c r="H7" i="1"/>
  <c r="F7" i="1"/>
  <c r="B23" i="48"/>
  <c r="A19" i="48"/>
  <c r="D94" i="49"/>
  <c r="D93" i="49"/>
  <c r="B93" i="49"/>
  <c r="D92" i="49"/>
  <c r="D91" i="49"/>
  <c r="B91" i="49"/>
  <c r="D90" i="49"/>
  <c r="D89" i="49"/>
  <c r="B89" i="49"/>
  <c r="A89" i="49"/>
  <c r="A90" i="49"/>
  <c r="A91" i="49"/>
  <c r="A92" i="49"/>
  <c r="A93" i="49"/>
  <c r="A94" i="49"/>
  <c r="D88" i="49"/>
  <c r="A88" i="49"/>
  <c r="D84" i="49"/>
  <c r="D83" i="49"/>
  <c r="D82" i="49"/>
  <c r="B82" i="49"/>
  <c r="D81" i="49"/>
  <c r="D80" i="49"/>
  <c r="B80" i="49"/>
  <c r="A80" i="49"/>
  <c r="A81" i="49"/>
  <c r="A82" i="49"/>
  <c r="A83" i="49"/>
  <c r="A84" i="49"/>
  <c r="D79" i="49"/>
  <c r="A79" i="49"/>
  <c r="D75" i="49"/>
  <c r="D74" i="49"/>
  <c r="D73" i="49"/>
  <c r="B73" i="49"/>
  <c r="D72" i="49"/>
  <c r="D71" i="49"/>
  <c r="B71" i="49"/>
  <c r="A71" i="49"/>
  <c r="A72" i="49"/>
  <c r="A73" i="49"/>
  <c r="A74" i="49"/>
  <c r="A75" i="49"/>
  <c r="D70" i="49"/>
  <c r="A70" i="49"/>
  <c r="D66" i="49"/>
  <c r="D65" i="49"/>
  <c r="D64" i="49"/>
  <c r="B64" i="49"/>
  <c r="D63" i="49"/>
  <c r="D62" i="49"/>
  <c r="B62" i="49"/>
  <c r="A62" i="49"/>
  <c r="A63" i="49"/>
  <c r="A64" i="49"/>
  <c r="A65" i="49"/>
  <c r="A66" i="49"/>
  <c r="D61" i="49"/>
  <c r="A61" i="49"/>
  <c r="D57" i="49"/>
  <c r="D56" i="49"/>
  <c r="D55" i="49"/>
  <c r="B55" i="49"/>
  <c r="D54" i="49"/>
  <c r="D53" i="49"/>
  <c r="B53" i="49"/>
  <c r="A53" i="49"/>
  <c r="A54" i="49"/>
  <c r="A55" i="49"/>
  <c r="A56" i="49"/>
  <c r="A57" i="49"/>
  <c r="D52" i="49"/>
  <c r="A52" i="49"/>
  <c r="D48" i="49"/>
  <c r="D47" i="49"/>
  <c r="D46" i="49"/>
  <c r="B46" i="49"/>
  <c r="D45" i="49"/>
  <c r="D44" i="49"/>
  <c r="B44" i="49"/>
  <c r="A44" i="49"/>
  <c r="A45" i="49"/>
  <c r="A46" i="49"/>
  <c r="A47" i="49"/>
  <c r="A48" i="49"/>
  <c r="D43" i="49"/>
  <c r="A43" i="49"/>
  <c r="D39" i="49"/>
  <c r="D38" i="49"/>
  <c r="D37" i="49"/>
  <c r="B37" i="49"/>
  <c r="D36" i="49"/>
  <c r="D35" i="49"/>
  <c r="B35" i="49"/>
  <c r="A35" i="49"/>
  <c r="A36" i="49"/>
  <c r="A37" i="49"/>
  <c r="A38" i="49"/>
  <c r="A39" i="49"/>
  <c r="D34" i="49"/>
  <c r="A34" i="49"/>
  <c r="D30" i="49"/>
  <c r="D29" i="49"/>
  <c r="D28" i="49"/>
  <c r="B28" i="49"/>
  <c r="D27" i="49"/>
  <c r="D26" i="49"/>
  <c r="B26" i="49"/>
  <c r="A26" i="49"/>
  <c r="A27" i="49"/>
  <c r="A28" i="49"/>
  <c r="A29" i="49"/>
  <c r="A30" i="49"/>
  <c r="D25" i="49"/>
  <c r="A25" i="49"/>
  <c r="D21" i="49"/>
  <c r="D20" i="49"/>
  <c r="B20" i="49"/>
  <c r="D19" i="49"/>
  <c r="D18" i="49"/>
  <c r="B18" i="49"/>
  <c r="D17" i="49"/>
  <c r="A17" i="49"/>
  <c r="A18" i="49"/>
  <c r="A19" i="49"/>
  <c r="A20" i="49"/>
  <c r="A21" i="49"/>
  <c r="C84" i="49"/>
  <c r="C48" i="49"/>
  <c r="C64" i="49"/>
  <c r="C39" i="49"/>
  <c r="C73" i="49"/>
  <c r="C62" i="49"/>
  <c r="C57" i="49"/>
  <c r="C38" i="49"/>
  <c r="C82" i="49"/>
  <c r="C71" i="49"/>
  <c r="C94" i="49"/>
  <c r="C47" i="49"/>
  <c r="C66" i="49"/>
  <c r="C80" i="49"/>
  <c r="C55" i="49"/>
  <c r="C53" i="49"/>
  <c r="C75" i="49"/>
  <c r="C30" i="49"/>
  <c r="C43" i="49"/>
  <c r="C44" i="49"/>
  <c r="C70" i="49"/>
  <c r="C72" i="49"/>
  <c r="C52" i="49"/>
  <c r="C93" i="49"/>
  <c r="C65" i="49"/>
  <c r="C83" i="49"/>
  <c r="C81" i="49"/>
  <c r="C74" i="49"/>
  <c r="C56" i="49"/>
  <c r="C54" i="49"/>
  <c r="C26" i="49"/>
  <c r="C61" i="49"/>
  <c r="C92" i="49"/>
  <c r="C79" i="49"/>
  <c r="C63" i="49"/>
  <c r="C29" i="49"/>
  <c r="C25" i="49"/>
  <c r="C17" i="49"/>
  <c r="C19" i="49"/>
  <c r="C51" i="49"/>
  <c r="C78" i="49"/>
  <c r="C90" i="49"/>
  <c r="C28" i="49"/>
  <c r="C89" i="49"/>
  <c r="C45" i="49"/>
  <c r="C88" i="49"/>
  <c r="C35" i="49"/>
  <c r="C27" i="49"/>
  <c r="C24" i="49"/>
  <c r="C46" i="49"/>
  <c r="C34" i="49"/>
  <c r="C36" i="49"/>
  <c r="C37" i="49"/>
  <c r="C60" i="49"/>
  <c r="C69" i="49"/>
  <c r="C20" i="49"/>
  <c r="C21" i="49"/>
  <c r="C42" i="49"/>
  <c r="C91" i="49"/>
  <c r="C87" i="49"/>
  <c r="C33" i="49"/>
  <c r="C18" i="49"/>
  <c r="C16" i="49"/>
  <c r="A50" i="49"/>
  <c r="B101" i="49"/>
  <c r="A77" i="49"/>
  <c r="B104" i="49"/>
  <c r="A41" i="49"/>
  <c r="B100" i="49"/>
  <c r="A15" i="49"/>
  <c r="B97" i="49"/>
  <c r="A32" i="49"/>
  <c r="B99" i="49"/>
  <c r="A23" i="49"/>
  <c r="B98" i="49"/>
  <c r="A86" i="49"/>
  <c r="B105" i="49"/>
  <c r="A68" i="49"/>
  <c r="B103" i="49"/>
  <c r="A59" i="49"/>
  <c r="B102" i="49"/>
  <c r="B35" i="48"/>
  <c r="E21" i="49"/>
  <c r="F21" i="49"/>
  <c r="E18" i="49"/>
  <c r="F18" i="49"/>
  <c r="E80" i="49"/>
  <c r="F80" i="49"/>
  <c r="E62" i="49"/>
  <c r="F62" i="49"/>
  <c r="E44" i="49"/>
  <c r="F44" i="49"/>
  <c r="E26" i="49"/>
  <c r="F26" i="49"/>
  <c r="E53" i="49"/>
  <c r="F53" i="49"/>
  <c r="E89" i="49"/>
  <c r="F89" i="49"/>
  <c r="E35" i="49"/>
  <c r="F35" i="49"/>
  <c r="E71" i="49"/>
  <c r="F71" i="49"/>
  <c r="E92" i="49"/>
  <c r="F92" i="49"/>
  <c r="E93" i="49"/>
  <c r="F93" i="49"/>
  <c r="E20" i="49"/>
  <c r="F20" i="49"/>
  <c r="E91" i="49"/>
  <c r="F91" i="49"/>
  <c r="E73" i="49"/>
  <c r="F73" i="49"/>
  <c r="E55" i="49"/>
  <c r="F55" i="49"/>
  <c r="E37" i="49"/>
  <c r="F37" i="49"/>
  <c r="E82" i="49"/>
  <c r="F82" i="49"/>
  <c r="E64" i="49"/>
  <c r="F64" i="49"/>
  <c r="E46" i="49"/>
  <c r="F46" i="49"/>
  <c r="E28" i="49"/>
  <c r="F28" i="49"/>
  <c r="H27" i="1"/>
  <c r="F108" i="49"/>
  <c r="E17" i="49"/>
  <c r="F17" i="49"/>
  <c r="E83" i="49"/>
  <c r="F83" i="49"/>
  <c r="E65" i="49"/>
  <c r="F65" i="49"/>
  <c r="E47" i="49"/>
  <c r="F47" i="49"/>
  <c r="E29" i="49"/>
  <c r="F29" i="49"/>
  <c r="E74" i="49"/>
  <c r="F74" i="49"/>
  <c r="E56" i="49"/>
  <c r="F56" i="49"/>
  <c r="E38" i="49"/>
  <c r="F38" i="49"/>
  <c r="E81" i="49"/>
  <c r="F81" i="49"/>
  <c r="E27" i="49"/>
  <c r="F27" i="49"/>
  <c r="E63" i="49"/>
  <c r="F63" i="49"/>
  <c r="E45" i="49"/>
  <c r="F45" i="49"/>
  <c r="E90" i="49"/>
  <c r="F90" i="49"/>
  <c r="E72" i="49"/>
  <c r="F72" i="49"/>
  <c r="E54" i="49"/>
  <c r="F54" i="49"/>
  <c r="E36" i="49"/>
  <c r="F36" i="49"/>
  <c r="E88" i="49"/>
  <c r="F88" i="49"/>
  <c r="E70" i="49"/>
  <c r="F70" i="49"/>
  <c r="E52" i="49"/>
  <c r="F52" i="49"/>
  <c r="E34" i="49"/>
  <c r="F34" i="49"/>
  <c r="E79" i="49"/>
  <c r="F79" i="49"/>
  <c r="E61" i="49"/>
  <c r="F61" i="49"/>
  <c r="E43" i="49"/>
  <c r="F43" i="49"/>
  <c r="E25" i="49"/>
  <c r="F25" i="49"/>
  <c r="E39" i="49"/>
  <c r="F39" i="49"/>
  <c r="F40" i="49"/>
  <c r="F99" i="49"/>
  <c r="E94" i="49"/>
  <c r="F94" i="49"/>
  <c r="F95" i="49"/>
  <c r="F105" i="49"/>
  <c r="E75" i="49"/>
  <c r="F75" i="49"/>
  <c r="F76" i="49"/>
  <c r="F103" i="49"/>
  <c r="E66" i="49"/>
  <c r="F66" i="49"/>
  <c r="F67" i="49"/>
  <c r="F102" i="49"/>
  <c r="E48" i="49"/>
  <c r="F48" i="49"/>
  <c r="F49" i="49"/>
  <c r="F100" i="49"/>
  <c r="E84" i="49"/>
  <c r="F84" i="49"/>
  <c r="F85" i="49"/>
  <c r="F104" i="49"/>
  <c r="E30" i="49"/>
  <c r="F30" i="49"/>
  <c r="F31" i="49"/>
  <c r="F98" i="49"/>
  <c r="E57" i="49"/>
  <c r="F57" i="49"/>
  <c r="F58" i="49"/>
  <c r="F101" i="49"/>
  <c r="Q10" i="33"/>
  <c r="Q9" i="33"/>
  <c r="B5" i="33"/>
  <c r="B4" i="33"/>
  <c r="B6" i="33"/>
  <c r="Q8" i="33"/>
  <c r="H22" i="49"/>
  <c r="E19" i="49"/>
  <c r="F19" i="49"/>
  <c r="F22" i="49"/>
  <c r="F97" i="49"/>
  <c r="F106" i="49"/>
  <c r="F109" i="49"/>
  <c r="H95" i="49"/>
  <c r="H67" i="49"/>
  <c r="H49" i="49"/>
  <c r="H58" i="49"/>
  <c r="H40" i="49"/>
  <c r="H76" i="49"/>
  <c r="H85" i="49"/>
  <c r="H31" i="49"/>
  <c r="H31" i="1"/>
  <c r="H109" i="49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<sst xmlns="http://schemas.openxmlformats.org/spreadsheetml/2006/main" count="303" uniqueCount="128">
  <si>
    <t>Customer:</t>
  </si>
  <si>
    <t>Site:</t>
  </si>
  <si>
    <t>Summary</t>
  </si>
  <si>
    <t>Materials</t>
  </si>
  <si>
    <t>Labour</t>
  </si>
  <si>
    <t>Mark-Up%</t>
  </si>
  <si>
    <t>Margin</t>
  </si>
  <si>
    <t>Total</t>
  </si>
  <si>
    <t>Item:</t>
  </si>
  <si>
    <t>Materials:</t>
  </si>
  <si>
    <t>Labour:</t>
  </si>
  <si>
    <t>Total:</t>
  </si>
  <si>
    <t>Material Cost</t>
  </si>
  <si>
    <t>Material Rate</t>
  </si>
  <si>
    <t>Labour Cost</t>
  </si>
  <si>
    <t>Labour Rate</t>
  </si>
  <si>
    <t>Total Quantity</t>
  </si>
  <si>
    <t>Description</t>
  </si>
  <si>
    <t>Sub-Total</t>
  </si>
  <si>
    <t>Prelims</t>
  </si>
  <si>
    <t>Sub-total</t>
  </si>
  <si>
    <t>Grand Total</t>
  </si>
  <si>
    <t>m</t>
  </si>
  <si>
    <t>Raw Costs</t>
  </si>
  <si>
    <t>Total Inc. Margin</t>
  </si>
  <si>
    <t>Rate</t>
  </si>
  <si>
    <t>Wastage %</t>
  </si>
  <si>
    <t>Raw Quantity</t>
  </si>
  <si>
    <t>SubTotal:</t>
  </si>
  <si>
    <t>Primer</t>
  </si>
  <si>
    <t>lm</t>
  </si>
  <si>
    <t xml:space="preserve">Unit </t>
  </si>
  <si>
    <t>Quotation</t>
  </si>
  <si>
    <t>Item</t>
  </si>
  <si>
    <t>Qty / Unit</t>
  </si>
  <si>
    <t>Rate (£)</t>
  </si>
  <si>
    <t>Total (£)</t>
  </si>
  <si>
    <t>m²</t>
  </si>
  <si>
    <t>Rain Water Outlets</t>
  </si>
  <si>
    <t>Ma</t>
  </si>
  <si>
    <t>Main</t>
  </si>
  <si>
    <t>Wastage Qty</t>
  </si>
  <si>
    <t>Sub Total</t>
  </si>
  <si>
    <t>Insulation for Upstand to Parapet lm</t>
  </si>
  <si>
    <t>Final Total</t>
  </si>
  <si>
    <t>Insulation for Field Area 
m²</t>
  </si>
  <si>
    <t>Multiplier (Girth)</t>
  </si>
  <si>
    <t>Base</t>
  </si>
  <si>
    <t>VCL</t>
  </si>
  <si>
    <t>Cap Sheet</t>
  </si>
  <si>
    <t>Paratherm T - Tapered</t>
  </si>
  <si>
    <t>Drip edge - linear</t>
  </si>
  <si>
    <t>Totals</t>
  </si>
  <si>
    <t>WATERPROOFING AREAS</t>
  </si>
  <si>
    <t>Deck</t>
  </si>
  <si>
    <t>Subtotal</t>
  </si>
  <si>
    <t>INSULATION</t>
  </si>
  <si>
    <t>UPSTANDS</t>
  </si>
  <si>
    <t>DRIPSTANDS</t>
  </si>
  <si>
    <t>Area - Insulated</t>
  </si>
  <si>
    <t>Upstand to Parapet
lm</t>
  </si>
  <si>
    <t>Drip Edge
lm</t>
  </si>
  <si>
    <t>Insulation</t>
  </si>
  <si>
    <t>Tapered Insulation</t>
  </si>
  <si>
    <t>To supply and install Moy Imper Paralon ARD/HS Plus</t>
  </si>
  <si>
    <t>Moy Imper Paralon ARD/HS Plus</t>
  </si>
  <si>
    <t>Upstands 450mm girth</t>
  </si>
  <si>
    <t>Drip Edge</t>
  </si>
  <si>
    <t>DATE : 06.10.2022</t>
  </si>
  <si>
    <t>PROJECT : Sidcup</t>
  </si>
  <si>
    <t>Paving</t>
  </si>
  <si>
    <t>Lift Upstands 1m girth</t>
  </si>
  <si>
    <t>Warm</t>
  </si>
  <si>
    <t>Field Area
(Warm)
m²</t>
  </si>
  <si>
    <t>BoQ Text</t>
  </si>
  <si>
    <t>Impertene Bitumen Primer</t>
  </si>
  <si>
    <t>DCS Roofing Ltd</t>
  </si>
  <si>
    <t>Berkshire Avenue</t>
  </si>
  <si>
    <t>Upstand to Parapet lm</t>
  </si>
  <si>
    <t>Paraflex NT3/Base Sheet VCL (10m x 1m)</t>
  </si>
  <si>
    <t>Parflec ARD/S Bianco Reflecta Granular Cap Sheet (8m x 1m)</t>
  </si>
  <si>
    <t>Oxidised Bitumen Type 95/25</t>
  </si>
  <si>
    <t>Rockwool Hardwood Multi-Fix 150mm</t>
  </si>
  <si>
    <t>Rockwool Hardwood Multi-Fix 60mm</t>
  </si>
  <si>
    <t xml:space="preserve">Knauf Aquapanel Cement Board </t>
  </si>
  <si>
    <t>Cement Board</t>
  </si>
  <si>
    <t>Moy Imper Paraflex</t>
  </si>
  <si>
    <t>UPSTAND INSULATION</t>
  </si>
  <si>
    <t>Tapered Insulation for Field Area 
m²</t>
  </si>
  <si>
    <t>Enke Universal Primer 2K Gebindest Komp</t>
  </si>
  <si>
    <t>Enkopur Silver</t>
  </si>
  <si>
    <t>Enke P/Ester Fleese</t>
  </si>
  <si>
    <t>ENKE WATERPROOFING AREAS (POST TOPS)</t>
  </si>
  <si>
    <t>Each</t>
  </si>
  <si>
    <t>Field Area to top of Post
Each</t>
  </si>
  <si>
    <t>ENKE UPSTANDS</t>
  </si>
  <si>
    <t>Area</t>
  </si>
  <si>
    <t>Upstand to Post with insulation
Each</t>
  </si>
  <si>
    <t>Drip Edge Detail to Gutter: 2mm Powder Coated Galv Fixed 300mm Downturn Into Gutter, 300mm Fixing Arm</t>
  </si>
  <si>
    <t>Dtm Attendance,  As-Built Drawings</t>
  </si>
  <si>
    <t>Online Collabaration And O&amp;M Manuals</t>
  </si>
  <si>
    <t>Site Establishment</t>
  </si>
  <si>
    <t>Smsts Non Working Supervisor</t>
  </si>
  <si>
    <t>Sssts Working Supervisor</t>
  </si>
  <si>
    <t>E.O Self Erecting</t>
  </si>
  <si>
    <t>Gas Cages</t>
  </si>
  <si>
    <t>Lock Boxes</t>
  </si>
  <si>
    <t>Electronic Roof Integrity Testing</t>
  </si>
  <si>
    <t>Moy On Site Training, Weekly On Site Reports, Final</t>
  </si>
  <si>
    <t>Handover Sign Off</t>
  </si>
  <si>
    <t>Daily Clean Of Works Face Area</t>
  </si>
  <si>
    <t>Removal Of Waste From Roof To Site Skips</t>
  </si>
  <si>
    <t>Securing Materials And Segregation</t>
  </si>
  <si>
    <t>Unit</t>
  </si>
  <si>
    <t>Days</t>
  </si>
  <si>
    <t>Included</t>
  </si>
  <si>
    <t>FIXED RATE PER POST</t>
  </si>
  <si>
    <t>Insulation to Main Deck</t>
  </si>
  <si>
    <t>Roofing Works</t>
  </si>
  <si>
    <t>Your Image Here</t>
  </si>
  <si>
    <t>Unit E Kach Business Park</t>
  </si>
  <si>
    <t>Pottery Road</t>
  </si>
  <si>
    <t>Bovey Tracey</t>
  </si>
  <si>
    <t>Email: examplecustomer@example.co.uk</t>
  </si>
  <si>
    <t>Office Tel: 02070623900</t>
  </si>
  <si>
    <t>TQ13 9TZ</t>
  </si>
  <si>
    <t>PROJECT : Example Job</t>
  </si>
  <si>
    <t>DATE : 01.01.2023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</si>
</sst>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"/>
    <numFmt numFmtId="165" formatCode="&quot;£&quot;#,##0.00"/>
    <numFmt numFmtId="166" formatCode="_-[$£-809]* #,##0.00_-;\-[$£-809]* #,##0.00_-;_-[$£-809]* &quot;-&quot;??_-;_-@_-"/>
    <numFmt numFmtId="167" formatCode="_-* #,##0.00_-;[Red]* \(#,##0.00\)_-;_-* &quot; &quot;_-;_-@_-"/>
    <numFmt numFmtId="168" formatCode="0;\-0;;@"/>
    <numFmt numFmtId="169" formatCode="0.00;\-0.00;;@"/>
    <numFmt numFmtId="170" formatCode="&quot;£&quot;#,##0.00;[Red]&quot;£&quot;#,##0.00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2"/>
      <color indexed="8"/>
      <name val="Tahoma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Arial Narrow"/>
      <family val="2"/>
    </font>
    <font>
      <sz val="11"/>
      <color theme="1"/>
      <name val="Arial Narrow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 Narrow"/>
      <family val="2"/>
    </font>
    <font>
      <b/>
      <sz val="11"/>
      <color theme="1"/>
      <name val="Arial Narrow"/>
      <family val="2"/>
    </font>
    <font>
      <sz val="8"/>
      <color theme="1"/>
      <name val="Arial Narrow"/>
      <family val="2"/>
    </font>
    <font>
      <b/>
      <sz val="9"/>
      <color theme="1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name val="MS Sans Serif"/>
      <family val="2"/>
    </font>
    <font>
      <sz val="10"/>
      <name val="Arial Narrow"/>
      <family val="2"/>
    </font>
    <font>
      <sz val="11"/>
      <color theme="0" tint="-0.14999847407452621"/>
      <name val="Calibri"/>
      <family val="2"/>
      <scheme val="minor"/>
    </font>
    <font>
      <b/>
      <sz val="10"/>
      <color indexed="8"/>
      <name val="Arial Narrow"/>
      <family val="2"/>
    </font>
    <font>
      <sz val="11"/>
      <color theme="0"/>
      <name val="Calibri"/>
      <family val="2"/>
      <scheme val="minor"/>
    </font>
    <font>
      <b/>
      <sz val="10"/>
      <color theme="0"/>
      <name val="Arial Narrow"/>
      <family val="2"/>
    </font>
    <font>
      <b/>
      <sz val="10"/>
      <name val="Arial"/>
      <family val="2"/>
    </font>
    <font>
      <b/>
      <sz val="16"/>
      <color theme="0"/>
      <name val="Arial Narrow"/>
      <family val="2"/>
    </font>
    <font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Tahoma"/>
      <family val="2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EA0075"/>
        <bgColor indexed="64"/>
      </patternFill>
    </fill>
    <fill>
      <patternFill patternType="solid">
        <fgColor rgb="FF1B1464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" fillId="0" borderId="0"/>
    <xf numFmtId="44" fontId="3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7" fillId="0" borderId="0"/>
    <xf numFmtId="0" fontId="39" fillId="0" borderId="0"/>
    <xf numFmtId="0" fontId="41" fillId="0" borderId="0" applyNumberFormat="0" applyFill="0" applyBorder="0" applyAlignment="0" applyProtection="0"/>
  </cellStyleXfs>
  <cellXfs count="202">
    <xf numFmtId="0" fontId="0" fillId="0" borderId="0" xfId="0"/>
    <xf numFmtId="0" fontId="7" fillId="0" borderId="0" xfId="0" applyFont="1"/>
    <xf numFmtId="0" fontId="8" fillId="0" borderId="0" xfId="0" applyFont="1"/>
    <xf numFmtId="44" fontId="7" fillId="0" borderId="0" xfId="0" applyNumberFormat="1" applyFont="1"/>
    <xf numFmtId="0" fontId="4" fillId="0" borderId="0" xfId="0" applyFont="1"/>
    <xf numFmtId="0" fontId="0" fillId="2" borderId="0" xfId="0" applyFill="1"/>
    <xf numFmtId="0" fontId="1" fillId="0" borderId="0" xfId="0" applyFont="1"/>
    <xf numFmtId="0" fontId="1" fillId="2" borderId="0" xfId="0" applyFont="1" applyFill="1"/>
    <xf numFmtId="165" fontId="5" fillId="0" borderId="0" xfId="1" applyNumberFormat="1" applyFont="1" applyFill="1"/>
    <xf numFmtId="165" fontId="4" fillId="0" borderId="1" xfId="0" applyNumberFormat="1" applyFont="1" applyBorder="1"/>
    <xf numFmtId="44" fontId="4" fillId="0" borderId="0" xfId="0" applyNumberFormat="1" applyFont="1"/>
    <xf numFmtId="0" fontId="4" fillId="0" borderId="0" xfId="0" applyFont="1" applyAlignment="1">
      <alignment horizontal="right"/>
    </xf>
    <xf numFmtId="44" fontId="4" fillId="0" borderId="2" xfId="0" applyNumberFormat="1" applyFont="1" applyBorder="1"/>
    <xf numFmtId="49" fontId="0" fillId="0" borderId="0" xfId="1" applyNumberFormat="1" applyFont="1" applyBorder="1" applyAlignment="1">
      <alignment horizontal="left"/>
    </xf>
    <xf numFmtId="166" fontId="6" fillId="3" borderId="3" xfId="1" applyNumberFormat="1" applyFont="1" applyFill="1" applyBorder="1"/>
    <xf numFmtId="0" fontId="0" fillId="0" borderId="0" xfId="0" applyAlignment="1">
      <alignment horizontal="center" vertical="top" wrapText="1"/>
    </xf>
    <xf numFmtId="0" fontId="0" fillId="0" borderId="1" xfId="3" applyFont="1" applyBorder="1" applyAlignment="1">
      <alignment horizontal="left"/>
    </xf>
    <xf numFmtId="9" fontId="5" fillId="0" borderId="1" xfId="2" applyFont="1" applyBorder="1"/>
    <xf numFmtId="9" fontId="6" fillId="0" borderId="0" xfId="2" applyFont="1"/>
    <xf numFmtId="9" fontId="6" fillId="0" borderId="0" xfId="2" applyFont="1" applyBorder="1" applyAlignment="1">
      <alignment horizontal="right"/>
    </xf>
    <xf numFmtId="165" fontId="1" fillId="0" borderId="0" xfId="0" applyNumberFormat="1" applyFont="1"/>
    <xf numFmtId="165" fontId="0" fillId="0" borderId="0" xfId="0" applyNumberFormat="1"/>
    <xf numFmtId="0" fontId="4" fillId="0" borderId="1" xfId="3" applyFont="1" applyBorder="1" applyAlignment="1">
      <alignment horizontal="left"/>
    </xf>
    <xf numFmtId="164" fontId="4" fillId="0" borderId="1" xfId="0" applyNumberFormat="1" applyFont="1" applyBorder="1"/>
    <xf numFmtId="165" fontId="5" fillId="0" borderId="0" xfId="0" applyNumberFormat="1" applyFont="1"/>
    <xf numFmtId="2" fontId="5" fillId="0" borderId="0" xfId="0" applyNumberFormat="1" applyFont="1"/>
    <xf numFmtId="2" fontId="6" fillId="0" borderId="0" xfId="0" applyNumberFormat="1" applyFont="1"/>
    <xf numFmtId="0" fontId="4" fillId="0" borderId="0" xfId="0" applyFont="1" applyAlignment="1">
      <alignment horizontal="center"/>
    </xf>
    <xf numFmtId="44" fontId="5" fillId="0" borderId="0" xfId="1" applyFont="1" applyFill="1"/>
    <xf numFmtId="44" fontId="0" fillId="0" borderId="0" xfId="0" applyNumberFormat="1"/>
    <xf numFmtId="0" fontId="13" fillId="0" borderId="0" xfId="0" applyFont="1"/>
    <xf numFmtId="44" fontId="4" fillId="0" borderId="1" xfId="0" applyNumberFormat="1" applyFont="1" applyBorder="1"/>
    <xf numFmtId="0" fontId="13" fillId="0" borderId="0" xfId="0" applyFont="1" applyAlignment="1">
      <alignment horizontal="right"/>
    </xf>
    <xf numFmtId="0" fontId="0" fillId="0" borderId="0" xfId="0" applyAlignment="1">
      <alignment vertical="center"/>
    </xf>
    <xf numFmtId="49" fontId="0" fillId="0" borderId="0" xfId="0" applyNumberFormat="1" applyAlignment="1">
      <alignment wrapText="1"/>
    </xf>
    <xf numFmtId="9" fontId="5" fillId="0" borderId="0" xfId="2" applyFont="1"/>
    <xf numFmtId="166" fontId="4" fillId="0" borderId="0" xfId="0" applyNumberFormat="1" applyFont="1" applyAlignment="1">
      <alignment vertical="center"/>
    </xf>
    <xf numFmtId="166" fontId="0" fillId="5" borderId="3" xfId="0" applyNumberFormat="1" applyFill="1" applyBorder="1"/>
    <xf numFmtId="166" fontId="1" fillId="4" borderId="3" xfId="1" applyNumberFormat="1" applyFont="1" applyFill="1" applyBorder="1"/>
    <xf numFmtId="166" fontId="1" fillId="3" borderId="3" xfId="1" applyNumberFormat="1" applyFont="1" applyFill="1" applyBorder="1"/>
    <xf numFmtId="164" fontId="1" fillId="0" borderId="1" xfId="0" applyNumberFormat="1" applyFont="1" applyBorder="1"/>
    <xf numFmtId="164" fontId="0" fillId="0" borderId="1" xfId="0" applyNumberFormat="1" applyBorder="1"/>
    <xf numFmtId="0" fontId="0" fillId="0" borderId="0" xfId="0" applyAlignment="1">
      <alignment horizontal="center"/>
    </xf>
    <xf numFmtId="165" fontId="4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49" fontId="0" fillId="0" borderId="0" xfId="0" applyNumberFormat="1" applyAlignment="1">
      <alignment horizontal="left" vertical="top"/>
    </xf>
    <xf numFmtId="44" fontId="1" fillId="0" borderId="0" xfId="0" applyNumberFormat="1" applyFont="1"/>
    <xf numFmtId="44" fontId="1" fillId="0" borderId="0" xfId="0" applyNumberFormat="1" applyFont="1" applyAlignment="1">
      <alignment horizontal="center"/>
    </xf>
    <xf numFmtId="44" fontId="4" fillId="0" borderId="0" xfId="0" applyNumberFormat="1" applyFont="1" applyAlignment="1">
      <alignment horizontal="center"/>
    </xf>
    <xf numFmtId="44" fontId="1" fillId="0" borderId="0" xfId="1" applyFont="1" applyBorder="1" applyAlignment="1">
      <alignment horizontal="left"/>
    </xf>
    <xf numFmtId="0" fontId="1" fillId="0" borderId="0" xfId="0" applyFont="1" applyAlignment="1">
      <alignment vertical="center"/>
    </xf>
    <xf numFmtId="44" fontId="4" fillId="0" borderId="0" xfId="0" applyNumberFormat="1" applyFont="1" applyAlignment="1">
      <alignment vertical="center"/>
    </xf>
    <xf numFmtId="4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4" fontId="1" fillId="0" borderId="0" xfId="1" applyFont="1" applyBorder="1" applyAlignment="1">
      <alignment horizontal="left" vertical="center"/>
    </xf>
    <xf numFmtId="0" fontId="0" fillId="5" borderId="3" xfId="0" applyFill="1" applyBorder="1" applyAlignment="1">
      <alignment horizontal="left"/>
    </xf>
    <xf numFmtId="9" fontId="12" fillId="0" borderId="0" xfId="0" applyNumberFormat="1" applyFont="1" applyAlignment="1">
      <alignment horizontal="center"/>
    </xf>
    <xf numFmtId="0" fontId="0" fillId="4" borderId="3" xfId="0" applyFill="1" applyBorder="1" applyAlignment="1">
      <alignment horizontal="left"/>
    </xf>
    <xf numFmtId="166" fontId="1" fillId="0" borderId="0" xfId="0" applyNumberFormat="1" applyFont="1"/>
    <xf numFmtId="0" fontId="0" fillId="3" borderId="3" xfId="0" applyFill="1" applyBorder="1" applyAlignment="1">
      <alignment horizontal="left"/>
    </xf>
    <xf numFmtId="0" fontId="1" fillId="3" borderId="3" xfId="3" applyFill="1" applyBorder="1" applyAlignment="1">
      <alignment horizontal="left"/>
    </xf>
    <xf numFmtId="0" fontId="1" fillId="0" borderId="1" xfId="3" applyBorder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3" applyAlignment="1">
      <alignment horizontal="left"/>
    </xf>
    <xf numFmtId="0" fontId="1" fillId="0" borderId="0" xfId="3" applyAlignment="1">
      <alignment horizontal="left" vertical="top" wrapText="1"/>
    </xf>
    <xf numFmtId="9" fontId="5" fillId="0" borderId="0" xfId="2" applyFont="1" applyFill="1" applyBorder="1"/>
    <xf numFmtId="0" fontId="4" fillId="0" borderId="5" xfId="0" applyFont="1" applyBorder="1" applyAlignment="1">
      <alignment horizontal="right"/>
    </xf>
    <xf numFmtId="0" fontId="7" fillId="0" borderId="5" xfId="0" applyFont="1" applyBorder="1"/>
    <xf numFmtId="44" fontId="4" fillId="0" borderId="5" xfId="0" applyNumberFormat="1" applyFont="1" applyBorder="1"/>
    <xf numFmtId="0" fontId="16" fillId="0" borderId="0" xfId="0" applyFont="1" applyAlignment="1">
      <alignment vertical="center"/>
    </xf>
    <xf numFmtId="0" fontId="18" fillId="0" borderId="0" xfId="0" applyFont="1" applyAlignment="1">
      <alignment vertical="top"/>
    </xf>
    <xf numFmtId="0" fontId="15" fillId="0" borderId="0" xfId="0" applyFont="1"/>
    <xf numFmtId="2" fontId="18" fillId="0" borderId="0" xfId="0" applyNumberFormat="1" applyFont="1" applyAlignment="1">
      <alignment horizontal="center" vertical="top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/>
    </xf>
    <xf numFmtId="43" fontId="18" fillId="0" borderId="0" xfId="9" applyFont="1" applyAlignment="1">
      <alignment vertical="top"/>
    </xf>
    <xf numFmtId="167" fontId="18" fillId="0" borderId="0" xfId="0" applyNumberFormat="1" applyFont="1" applyAlignment="1">
      <alignment vertical="top"/>
    </xf>
    <xf numFmtId="44" fontId="5" fillId="0" borderId="0" xfId="0" applyNumberFormat="1" applyFont="1"/>
    <xf numFmtId="169" fontId="15" fillId="0" borderId="0" xfId="0" applyNumberFormat="1" applyFont="1"/>
    <xf numFmtId="169" fontId="18" fillId="0" borderId="0" xfId="0" applyNumberFormat="1" applyFont="1" applyAlignment="1">
      <alignment horizontal="right" vertical="top"/>
    </xf>
    <xf numFmtId="169" fontId="18" fillId="0" borderId="0" xfId="0" applyNumberFormat="1" applyFont="1" applyAlignment="1">
      <alignment vertical="top"/>
    </xf>
    <xf numFmtId="49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 vertical="top"/>
    </xf>
    <xf numFmtId="166" fontId="0" fillId="6" borderId="3" xfId="0" applyNumberFormat="1" applyFill="1" applyBorder="1" applyAlignment="1">
      <alignment horizontal="center"/>
    </xf>
    <xf numFmtId="166" fontId="1" fillId="6" borderId="3" xfId="1" applyNumberFormat="1" applyFont="1" applyFill="1" applyBorder="1" applyAlignment="1">
      <alignment horizontal="center"/>
    </xf>
    <xf numFmtId="166" fontId="6" fillId="6" borderId="3" xfId="1" applyNumberFormat="1" applyFont="1" applyFill="1" applyBorder="1" applyAlignment="1">
      <alignment horizontal="center"/>
    </xf>
    <xf numFmtId="44" fontId="4" fillId="3" borderId="6" xfId="0" applyNumberFormat="1" applyFont="1" applyFill="1" applyBorder="1"/>
    <xf numFmtId="0" fontId="1" fillId="6" borderId="7" xfId="0" applyFont="1" applyFill="1" applyBorder="1" applyAlignment="1">
      <alignment horizontal="center"/>
    </xf>
    <xf numFmtId="166" fontId="4" fillId="6" borderId="7" xfId="0" applyNumberFormat="1" applyFont="1" applyFill="1" applyBorder="1" applyAlignment="1">
      <alignment horizontal="center" vertical="center"/>
    </xf>
    <xf numFmtId="0" fontId="0" fillId="6" borderId="7" xfId="0" applyFill="1" applyBorder="1" applyAlignment="1">
      <alignment horizontal="center"/>
    </xf>
    <xf numFmtId="164" fontId="1" fillId="6" borderId="3" xfId="0" applyNumberFormat="1" applyFont="1" applyFill="1" applyBorder="1" applyAlignment="1">
      <alignment horizontal="center"/>
    </xf>
    <xf numFmtId="164" fontId="4" fillId="6" borderId="3" xfId="0" applyNumberFormat="1" applyFont="1" applyFill="1" applyBorder="1" applyAlignment="1">
      <alignment horizontal="center"/>
    </xf>
    <xf numFmtId="164" fontId="0" fillId="6" borderId="3" xfId="0" applyNumberFormat="1" applyFill="1" applyBorder="1" applyAlignment="1">
      <alignment horizontal="center"/>
    </xf>
    <xf numFmtId="9" fontId="5" fillId="6" borderId="3" xfId="2" applyFont="1" applyFill="1" applyBorder="1" applyAlignment="1">
      <alignment horizontal="center"/>
    </xf>
    <xf numFmtId="2" fontId="5" fillId="6" borderId="7" xfId="0" applyNumberFormat="1" applyFont="1" applyFill="1" applyBorder="1" applyAlignment="1">
      <alignment horizontal="center"/>
    </xf>
    <xf numFmtId="0" fontId="0" fillId="6" borderId="7" xfId="0" applyFill="1" applyBorder="1" applyAlignment="1">
      <alignment horizontal="center" vertical="top" wrapText="1"/>
    </xf>
    <xf numFmtId="0" fontId="29" fillId="0" borderId="0" xfId="0" applyFont="1"/>
    <xf numFmtId="0" fontId="29" fillId="0" borderId="0" xfId="0" applyFont="1" applyAlignment="1">
      <alignment horizontal="left"/>
    </xf>
    <xf numFmtId="0" fontId="29" fillId="6" borderId="7" xfId="0" applyFont="1" applyFill="1" applyBorder="1" applyAlignment="1">
      <alignment horizontal="center"/>
    </xf>
    <xf numFmtId="164" fontId="29" fillId="0" borderId="0" xfId="0" applyNumberFormat="1" applyFont="1"/>
    <xf numFmtId="164" fontId="29" fillId="6" borderId="7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vertical="center" wrapText="1"/>
    </xf>
    <xf numFmtId="2" fontId="26" fillId="0" borderId="3" xfId="0" applyNumberFormat="1" applyFont="1" applyBorder="1" applyAlignment="1">
      <alignment horizontal="center" vertical="center"/>
    </xf>
    <xf numFmtId="169" fontId="25" fillId="0" borderId="3" xfId="0" applyNumberFormat="1" applyFont="1" applyBorder="1" applyAlignment="1">
      <alignment horizontal="center" vertical="center"/>
    </xf>
    <xf numFmtId="168" fontId="25" fillId="0" borderId="3" xfId="0" applyNumberFormat="1" applyFont="1" applyBorder="1" applyAlignment="1">
      <alignment horizontal="center" vertical="center"/>
    </xf>
    <xf numFmtId="44" fontId="25" fillId="0" borderId="3" xfId="9" applyNumberFormat="1" applyFont="1" applyFill="1" applyBorder="1" applyAlignment="1">
      <alignment horizontal="center" vertical="center"/>
    </xf>
    <xf numFmtId="44" fontId="25" fillId="0" borderId="3" xfId="1" applyFont="1" applyBorder="1" applyAlignment="1">
      <alignment horizontal="center" vertical="center"/>
    </xf>
    <xf numFmtId="44" fontId="26" fillId="0" borderId="3" xfId="1" applyFont="1" applyBorder="1" applyAlignment="1">
      <alignment horizontal="center" vertical="center"/>
    </xf>
    <xf numFmtId="44" fontId="25" fillId="0" borderId="3" xfId="1" applyFont="1" applyFill="1" applyBorder="1" applyAlignment="1">
      <alignment horizontal="center" vertical="center"/>
    </xf>
    <xf numFmtId="0" fontId="28" fillId="0" borderId="3" xfId="0" applyFont="1" applyBorder="1" applyAlignment="1">
      <alignment horizontal="center" vertical="center" wrapText="1"/>
    </xf>
    <xf numFmtId="0" fontId="29" fillId="0" borderId="0" xfId="0" applyFont="1" applyAlignment="1">
      <alignment horizontal="center"/>
    </xf>
    <xf numFmtId="0" fontId="18" fillId="0" borderId="0" xfId="0" applyFont="1" applyAlignment="1">
      <alignment vertical="center"/>
    </xf>
    <xf numFmtId="0" fontId="26" fillId="0" borderId="3" xfId="0" applyFont="1" applyBorder="1" applyAlignment="1">
      <alignment horizontal="center" vertical="center" wrapText="1"/>
    </xf>
    <xf numFmtId="43" fontId="30" fillId="0" borderId="3" xfId="9" applyFont="1" applyBorder="1" applyAlignment="1">
      <alignment horizontal="center" vertical="center"/>
    </xf>
    <xf numFmtId="167" fontId="26" fillId="0" borderId="3" xfId="0" applyNumberFormat="1" applyFont="1" applyBorder="1" applyAlignment="1">
      <alignment horizontal="center" vertical="center" wrapText="1"/>
    </xf>
    <xf numFmtId="0" fontId="28" fillId="0" borderId="3" xfId="11" applyFont="1" applyBorder="1" applyAlignment="1" applyProtection="1">
      <alignment vertical="center" wrapText="1"/>
      <protection hidden="1"/>
    </xf>
    <xf numFmtId="43" fontId="18" fillId="0" borderId="0" xfId="0" applyNumberFormat="1" applyFont="1" applyAlignment="1">
      <alignment vertical="center"/>
    </xf>
    <xf numFmtId="2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169" fontId="18" fillId="0" borderId="0" xfId="0" applyNumberFormat="1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3" fontId="18" fillId="0" borderId="0" xfId="9" applyFont="1" applyAlignment="1">
      <alignment vertical="center"/>
    </xf>
    <xf numFmtId="167" fontId="18" fillId="0" borderId="0" xfId="0" applyNumberFormat="1" applyFont="1" applyAlignment="1">
      <alignment vertical="center"/>
    </xf>
    <xf numFmtId="44" fontId="18" fillId="0" borderId="0" xfId="0" applyNumberFormat="1" applyFont="1" applyAlignment="1">
      <alignment vertical="center"/>
    </xf>
    <xf numFmtId="44" fontId="29" fillId="0" borderId="0" xfId="1" applyFont="1"/>
    <xf numFmtId="0" fontId="32" fillId="8" borderId="3" xfId="11" applyFont="1" applyFill="1" applyBorder="1" applyAlignment="1" applyProtection="1">
      <alignment horizontal="left" vertical="center" wrapText="1"/>
      <protection hidden="1"/>
    </xf>
    <xf numFmtId="44" fontId="32" fillId="8" borderId="3" xfId="11" applyNumberFormat="1" applyFont="1" applyFill="1" applyBorder="1" applyAlignment="1" applyProtection="1">
      <alignment horizontal="left" vertical="center" wrapText="1"/>
      <protection hidden="1"/>
    </xf>
    <xf numFmtId="0" fontId="21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4" fillId="6" borderId="9" xfId="0" applyFont="1" applyFill="1" applyBorder="1" applyAlignment="1">
      <alignment horizontal="center"/>
    </xf>
    <xf numFmtId="0" fontId="4" fillId="0" borderId="8" xfId="0" applyFont="1" applyBorder="1"/>
    <xf numFmtId="0" fontId="4" fillId="6" borderId="3" xfId="3" applyFont="1" applyFill="1" applyBorder="1" applyAlignment="1">
      <alignment horizontal="left"/>
    </xf>
    <xf numFmtId="2" fontId="4" fillId="6" borderId="3" xfId="0" applyNumberFormat="1" applyFont="1" applyFill="1" applyBorder="1"/>
    <xf numFmtId="0" fontId="18" fillId="9" borderId="0" xfId="0" applyFont="1" applyFill="1" applyAlignment="1">
      <alignment horizontal="left" vertical="top"/>
    </xf>
    <xf numFmtId="0" fontId="18" fillId="9" borderId="0" xfId="0" applyFont="1" applyFill="1" applyAlignment="1">
      <alignment vertical="top"/>
    </xf>
    <xf numFmtId="0" fontId="18" fillId="9" borderId="0" xfId="0" applyFont="1" applyFill="1" applyAlignment="1">
      <alignment vertical="center"/>
    </xf>
    <xf numFmtId="44" fontId="18" fillId="9" borderId="0" xfId="0" applyNumberFormat="1" applyFont="1" applyFill="1" applyAlignment="1">
      <alignment vertical="center"/>
    </xf>
    <xf numFmtId="0" fontId="18" fillId="9" borderId="0" xfId="0" applyFont="1" applyFill="1" applyAlignment="1">
      <alignment horizontal="center" vertical="center"/>
    </xf>
    <xf numFmtId="44" fontId="18" fillId="9" borderId="0" xfId="0" applyNumberFormat="1" applyFont="1" applyFill="1" applyAlignment="1">
      <alignment horizontal="center" vertical="center"/>
    </xf>
    <xf numFmtId="44" fontId="18" fillId="9" borderId="0" xfId="0" applyNumberFormat="1" applyFont="1" applyFill="1" applyAlignment="1">
      <alignment vertical="top"/>
    </xf>
    <xf numFmtId="1" fontId="10" fillId="10" borderId="3" xfId="0" applyNumberFormat="1" applyFont="1" applyFill="1" applyBorder="1" applyAlignment="1">
      <alignment horizontal="center" vertical="center"/>
    </xf>
    <xf numFmtId="2" fontId="10" fillId="10" borderId="3" xfId="0" applyNumberFormat="1" applyFont="1" applyFill="1" applyBorder="1" applyAlignment="1">
      <alignment horizontal="left" vertical="center" wrapText="1"/>
    </xf>
    <xf numFmtId="169" fontId="10" fillId="10" borderId="3" xfId="0" applyNumberFormat="1" applyFont="1" applyFill="1" applyBorder="1" applyAlignment="1">
      <alignment horizontal="right" vertical="center"/>
    </xf>
    <xf numFmtId="0" fontId="10" fillId="10" borderId="4" xfId="0" applyFont="1" applyFill="1" applyBorder="1" applyAlignment="1">
      <alignment horizontal="left" vertical="center"/>
    </xf>
    <xf numFmtId="43" fontId="33" fillId="10" borderId="6" xfId="9" applyFont="1" applyFill="1" applyBorder="1" applyAlignment="1">
      <alignment horizontal="right" vertical="center"/>
    </xf>
    <xf numFmtId="44" fontId="33" fillId="10" borderId="3" xfId="1" applyFont="1" applyFill="1" applyBorder="1" applyAlignment="1">
      <alignment vertical="center"/>
    </xf>
    <xf numFmtId="2" fontId="10" fillId="10" borderId="3" xfId="0" applyNumberFormat="1" applyFont="1" applyFill="1" applyBorder="1" applyAlignment="1">
      <alignment horizontal="center" vertical="center"/>
    </xf>
    <xf numFmtId="0" fontId="10" fillId="10" borderId="3" xfId="0" applyFont="1" applyFill="1" applyBorder="1" applyAlignment="1">
      <alignment horizontal="left" vertical="center" wrapText="1"/>
    </xf>
    <xf numFmtId="0" fontId="33" fillId="10" borderId="4" xfId="0" applyFont="1" applyFill="1" applyBorder="1" applyAlignment="1">
      <alignment vertical="center"/>
    </xf>
    <xf numFmtId="0" fontId="33" fillId="10" borderId="6" xfId="0" applyFont="1" applyFill="1" applyBorder="1" applyAlignment="1">
      <alignment horizontal="right" vertical="center"/>
    </xf>
    <xf numFmtId="0" fontId="17" fillId="0" borderId="0" xfId="0" applyFont="1" applyAlignment="1">
      <alignment vertical="center"/>
    </xf>
    <xf numFmtId="0" fontId="9" fillId="0" borderId="0" xfId="0" applyFont="1"/>
    <xf numFmtId="165" fontId="4" fillId="11" borderId="1" xfId="0" applyNumberFormat="1" applyFont="1" applyFill="1" applyBorder="1"/>
    <xf numFmtId="0" fontId="0" fillId="11" borderId="1" xfId="0" applyFill="1" applyBorder="1"/>
    <xf numFmtId="0" fontId="1" fillId="11" borderId="1" xfId="0" applyFont="1" applyFill="1" applyBorder="1"/>
    <xf numFmtId="2" fontId="1" fillId="0" borderId="0" xfId="0" applyNumberFormat="1" applyFont="1"/>
    <xf numFmtId="169" fontId="25" fillId="0" borderId="3" xfId="0" quotePrefix="1" applyNumberFormat="1" applyFont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35" fillId="12" borderId="10" xfId="0" applyFont="1" applyFill="1" applyBorder="1" applyAlignment="1">
      <alignment vertical="center"/>
    </xf>
    <xf numFmtId="44" fontId="37" fillId="12" borderId="10" xfId="0" applyNumberFormat="1" applyFont="1" applyFill="1" applyBorder="1" applyAlignment="1">
      <alignment vertical="center"/>
    </xf>
    <xf numFmtId="0" fontId="38" fillId="0" borderId="0" xfId="0" applyFont="1"/>
    <xf numFmtId="0" fontId="21" fillId="0" borderId="0" xfId="0" applyFont="1"/>
    <xf numFmtId="44" fontId="4" fillId="0" borderId="10" xfId="0" applyNumberFormat="1" applyFont="1" applyBorder="1"/>
    <xf numFmtId="170" fontId="42" fillId="0" borderId="0" xfId="0" applyNumberFormat="1" applyFont="1" applyAlignment="1">
      <alignment horizontal="right"/>
    </xf>
    <xf numFmtId="170" fontId="0" fillId="0" borderId="0" xfId="0" applyNumberFormat="1" applyAlignment="1">
      <alignment horizontal="right"/>
    </xf>
    <xf numFmtId="44" fontId="42" fillId="0" borderId="0" xfId="13" applyNumberFormat="1" applyFont="1" applyAlignment="1">
      <alignment horizontal="right" vertical="center"/>
    </xf>
    <xf numFmtId="44" fontId="40" fillId="0" borderId="0" xfId="0" applyNumberFormat="1" applyFont="1" applyAlignment="1">
      <alignment horizontal="right" vertical="center"/>
    </xf>
    <xf numFmtId="0" fontId="1" fillId="13" borderId="0" xfId="0" applyFont="1" applyFill="1"/>
    <xf numFmtId="2" fontId="26" fillId="0" borderId="0" xfId="0" applyNumberFormat="1" applyFont="1" applyAlignment="1">
      <alignment horizontal="center" vertical="center"/>
    </xf>
    <xf numFmtId="44" fontId="28" fillId="0" borderId="3" xfId="1" applyFont="1" applyBorder="1" applyAlignment="1" applyProtection="1">
      <alignment vertical="center" wrapText="1"/>
      <protection hidden="1"/>
    </xf>
    <xf numFmtId="0" fontId="32" fillId="8" borderId="4" xfId="11" applyFont="1" applyFill="1" applyBorder="1" applyAlignment="1" applyProtection="1">
      <alignment horizontal="center" vertical="center" wrapText="1"/>
      <protection hidden="1"/>
    </xf>
    <xf numFmtId="0" fontId="32" fillId="8" borderId="1" xfId="11" applyFont="1" applyFill="1" applyBorder="1" applyAlignment="1" applyProtection="1">
      <alignment horizontal="center" vertical="center" wrapText="1"/>
      <protection hidden="1"/>
    </xf>
    <xf numFmtId="0" fontId="32" fillId="8" borderId="6" xfId="11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3" fontId="30" fillId="0" borderId="3" xfId="0" applyNumberFormat="1" applyFont="1" applyBorder="1" applyAlignment="1">
      <alignment horizontal="center" vertical="center"/>
    </xf>
    <xf numFmtId="3" fontId="26" fillId="0" borderId="3" xfId="0" applyNumberFormat="1" applyFont="1" applyBorder="1" applyAlignment="1">
      <alignment horizontal="center" vertical="center" wrapText="1"/>
    </xf>
    <xf numFmtId="0" fontId="21" fillId="0" borderId="0" xfId="0" applyFont="1"/>
    <xf numFmtId="0" fontId="24" fillId="0" borderId="0" xfId="10" applyFont="1" applyFill="1" applyBorder="1" applyAlignment="1"/>
    <xf numFmtId="0" fontId="15" fillId="0" borderId="0" xfId="0" applyFont="1"/>
    <xf numFmtId="2" fontId="32" fillId="7" borderId="4" xfId="0" applyNumberFormat="1" applyFont="1" applyFill="1" applyBorder="1" applyAlignment="1">
      <alignment horizontal="center" vertical="center"/>
    </xf>
    <xf numFmtId="0" fontId="31" fillId="7" borderId="1" xfId="0" applyFont="1" applyFill="1" applyBorder="1" applyAlignment="1">
      <alignment vertical="center"/>
    </xf>
    <xf numFmtId="0" fontId="31" fillId="7" borderId="6" xfId="0" applyFont="1" applyFill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4" fillId="11" borderId="1" xfId="0" applyFont="1" applyFill="1" applyBorder="1" applyAlignment="1">
      <alignment horizontal="center"/>
    </xf>
    <xf numFmtId="0" fontId="36" fillId="12" borderId="10" xfId="0" applyFont="1" applyFill="1" applyBorder="1" applyAlignment="1">
      <alignment horizontal="left" vertical="center" wrapText="1"/>
    </xf>
    <xf numFmtId="2" fontId="34" fillId="7" borderId="4" xfId="0" applyNumberFormat="1" applyFont="1" applyFill="1" applyBorder="1" applyAlignment="1">
      <alignment horizontal="center" vertical="center"/>
    </xf>
    <xf numFmtId="2" fontId="34" fillId="7" borderId="1" xfId="0" applyNumberFormat="1" applyFont="1" applyFill="1" applyBorder="1" applyAlignment="1">
      <alignment horizontal="center" vertical="center"/>
    </xf>
    <xf numFmtId="0" fontId="31" fillId="7" borderId="1" xfId="0" applyFont="1" applyFill="1" applyBorder="1" applyAlignment="1">
      <alignment horizontal="center" vertical="center"/>
    </xf>
    <xf numFmtId="0" fontId="31" fillId="7" borderId="6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0" xfId="0" applyFont="1" applyAlignment="1">
      <alignment horizontal="center"/>
    </xf>
    <xf numFmtId="44" fontId="43" fillId="0" borderId="0" xfId="0" applyNumberFormat="1" applyFont="1" applyAlignment="1">
      <alignment horizontal="right"/>
    </xf>
    <xf numFmtId="44" fontId="44" fillId="0" borderId="0" xfId="0" applyNumberFormat="1" applyFont="1" applyAlignment="1">
      <alignment horizontal="right" vertical="center"/>
    </xf>
    <xf numFmtId="167" fontId="45" fillId="0" borderId="0" xfId="0" applyNumberFormat="1" applyFont="1" applyAlignment="1">
      <alignment horizontal="right" vertical="top"/>
    </xf>
  </cellXfs>
  <cellStyles count="14">
    <cellStyle name="Comma" xfId="9" builtinId="3"/>
    <cellStyle name="Comma 2" xfId="7" xr:uid="{F8B2BA02-2C66-4505-B5E9-C52556242EB2}"/>
    <cellStyle name="Currency" xfId="1" builtinId="4"/>
    <cellStyle name="Currency 2" xfId="5" xr:uid="{00000000-0005-0000-0000-000001000000}"/>
    <cellStyle name="Currency 3" xfId="8" xr:uid="{CC95C5E4-A15E-4494-9572-2BC5D5A8F691}"/>
    <cellStyle name="Hyperlink" xfId="10" builtinId="8"/>
    <cellStyle name="Hyperlink 2" xfId="13" xr:uid="{5DD8A238-AC02-4711-8CE6-5054CB25FDF9}"/>
    <cellStyle name="Normal" xfId="0" builtinId="0"/>
    <cellStyle name="Normal 2" xfId="4" xr:uid="{00000000-0005-0000-0000-000003000000}"/>
    <cellStyle name="Normal 3" xfId="6" xr:uid="{E237EFF5-ECBC-4E0E-8E42-82207670D2B8}"/>
    <cellStyle name="Normal 4" xfId="3" xr:uid="{00000000-0005-0000-0000-000004000000}"/>
    <cellStyle name="Normal 5" xfId="12" xr:uid="{B78EA039-6194-4DAE-A95A-10415CF5ABE0}"/>
    <cellStyle name="Normal_Budget Cost 4028" xfId="11" xr:uid="{A75A58EE-50B9-4E94-8C33-61E511A27656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csroofing01@yahoo.co.u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57440-73E4-4745-90DD-231C88827671}">
  <sheetPr codeName="Sheet17">
    <tabColor theme="0" tint="-0.249977111117893"/>
    <pageSetUpPr fitToPage="1"/>
  </sheetPr>
  <dimension ref="A1:N58"/>
  <sheetViews>
    <sheetView tabSelected="1" workbookViewId="0">
      <selection sqref="A1:F3"/>
    </sheetView>
  </sheetViews>
  <sheetFormatPr defaultColWidth="9.140625" defaultRowHeight="12.75" x14ac:dyDescent="0.25"/>
  <cols>
    <col min="1" max="1" width="5.5703125" style="73" customWidth="1"/>
    <col min="2" max="2" width="74.140625" style="74" customWidth="1"/>
    <col min="3" max="3" width="13.28515625" style="80" customWidth="1"/>
    <col min="4" max="4" width="6.85546875" style="75" customWidth="1"/>
    <col min="5" max="5" width="16.140625" style="76" customWidth="1"/>
    <col min="6" max="6" width="14.5703125" style="77" customWidth="1"/>
    <col min="7" max="8" width="9.140625" style="71"/>
    <col min="9" max="9" width="12.28515625" style="71" bestFit="1" customWidth="1"/>
    <col min="10" max="219" width="9.140625" style="71"/>
    <col min="220" max="220" width="4.5703125" style="71" customWidth="1"/>
    <col min="221" max="221" width="7" style="71" customWidth="1"/>
    <col min="222" max="222" width="49.85546875" style="71" customWidth="1"/>
    <col min="223" max="223" width="8" style="71" customWidth="1"/>
    <col min="224" max="224" width="9.85546875" style="71" customWidth="1"/>
    <col min="225" max="225" width="8.140625" style="71" bestFit="1" customWidth="1"/>
    <col min="226" max="226" width="10.5703125" style="71" bestFit="1" customWidth="1"/>
    <col min="227" max="475" width="9.140625" style="71"/>
    <col min="476" max="476" width="4.5703125" style="71" customWidth="1"/>
    <col min="477" max="477" width="7" style="71" customWidth="1"/>
    <col min="478" max="478" width="49.85546875" style="71" customWidth="1"/>
    <col min="479" max="479" width="8" style="71" customWidth="1"/>
    <col min="480" max="480" width="9.85546875" style="71" customWidth="1"/>
    <col min="481" max="481" width="8.140625" style="71" bestFit="1" customWidth="1"/>
    <col min="482" max="482" width="10.5703125" style="71" bestFit="1" customWidth="1"/>
    <col min="483" max="731" width="9.140625" style="71"/>
    <col min="732" max="732" width="4.5703125" style="71" customWidth="1"/>
    <col min="733" max="733" width="7" style="71" customWidth="1"/>
    <col min="734" max="734" width="49.85546875" style="71" customWidth="1"/>
    <col min="735" max="735" width="8" style="71" customWidth="1"/>
    <col min="736" max="736" width="9.85546875" style="71" customWidth="1"/>
    <col min="737" max="737" width="8.140625" style="71" bestFit="1" customWidth="1"/>
    <col min="738" max="738" width="10.5703125" style="71" bestFit="1" customWidth="1"/>
    <col min="739" max="987" width="9.140625" style="71"/>
    <col min="988" max="988" width="4.5703125" style="71" customWidth="1"/>
    <col min="989" max="989" width="7" style="71" customWidth="1"/>
    <col min="990" max="990" width="49.85546875" style="71" customWidth="1"/>
    <col min="991" max="991" width="8" style="71" customWidth="1"/>
    <col min="992" max="992" width="9.85546875" style="71" customWidth="1"/>
    <col min="993" max="993" width="8.140625" style="71" bestFit="1" customWidth="1"/>
    <col min="994" max="994" width="10.5703125" style="71" bestFit="1" customWidth="1"/>
    <col min="995" max="1243" width="9.140625" style="71"/>
    <col min="1244" max="1244" width="4.5703125" style="71" customWidth="1"/>
    <col min="1245" max="1245" width="7" style="71" customWidth="1"/>
    <col min="1246" max="1246" width="49.85546875" style="71" customWidth="1"/>
    <col min="1247" max="1247" width="8" style="71" customWidth="1"/>
    <col min="1248" max="1248" width="9.85546875" style="71" customWidth="1"/>
    <col min="1249" max="1249" width="8.140625" style="71" bestFit="1" customWidth="1"/>
    <col min="1250" max="1250" width="10.5703125" style="71" bestFit="1" customWidth="1"/>
    <col min="1251" max="1499" width="9.140625" style="71"/>
    <col min="1500" max="1500" width="4.5703125" style="71" customWidth="1"/>
    <col min="1501" max="1501" width="7" style="71" customWidth="1"/>
    <col min="1502" max="1502" width="49.85546875" style="71" customWidth="1"/>
    <col min="1503" max="1503" width="8" style="71" customWidth="1"/>
    <col min="1504" max="1504" width="9.85546875" style="71" customWidth="1"/>
    <col min="1505" max="1505" width="8.140625" style="71" bestFit="1" customWidth="1"/>
    <col min="1506" max="1506" width="10.5703125" style="71" bestFit="1" customWidth="1"/>
    <col min="1507" max="1755" width="9.140625" style="71"/>
    <col min="1756" max="1756" width="4.5703125" style="71" customWidth="1"/>
    <col min="1757" max="1757" width="7" style="71" customWidth="1"/>
    <col min="1758" max="1758" width="49.85546875" style="71" customWidth="1"/>
    <col min="1759" max="1759" width="8" style="71" customWidth="1"/>
    <col min="1760" max="1760" width="9.85546875" style="71" customWidth="1"/>
    <col min="1761" max="1761" width="8.140625" style="71" bestFit="1" customWidth="1"/>
    <col min="1762" max="1762" width="10.5703125" style="71" bestFit="1" customWidth="1"/>
    <col min="1763" max="2011" width="9.140625" style="71"/>
    <col min="2012" max="2012" width="4.5703125" style="71" customWidth="1"/>
    <col min="2013" max="2013" width="7" style="71" customWidth="1"/>
    <col min="2014" max="2014" width="49.85546875" style="71" customWidth="1"/>
    <col min="2015" max="2015" width="8" style="71" customWidth="1"/>
    <col min="2016" max="2016" width="9.85546875" style="71" customWidth="1"/>
    <col min="2017" max="2017" width="8.140625" style="71" bestFit="1" customWidth="1"/>
    <col min="2018" max="2018" width="10.5703125" style="71" bestFit="1" customWidth="1"/>
    <col min="2019" max="2267" width="9.140625" style="71"/>
    <col min="2268" max="2268" width="4.5703125" style="71" customWidth="1"/>
    <col min="2269" max="2269" width="7" style="71" customWidth="1"/>
    <col min="2270" max="2270" width="49.85546875" style="71" customWidth="1"/>
    <col min="2271" max="2271" width="8" style="71" customWidth="1"/>
    <col min="2272" max="2272" width="9.85546875" style="71" customWidth="1"/>
    <col min="2273" max="2273" width="8.140625" style="71" bestFit="1" customWidth="1"/>
    <col min="2274" max="2274" width="10.5703125" style="71" bestFit="1" customWidth="1"/>
    <col min="2275" max="2523" width="9.140625" style="71"/>
    <col min="2524" max="2524" width="4.5703125" style="71" customWidth="1"/>
    <col min="2525" max="2525" width="7" style="71" customWidth="1"/>
    <col min="2526" max="2526" width="49.85546875" style="71" customWidth="1"/>
    <col min="2527" max="2527" width="8" style="71" customWidth="1"/>
    <col min="2528" max="2528" width="9.85546875" style="71" customWidth="1"/>
    <col min="2529" max="2529" width="8.140625" style="71" bestFit="1" customWidth="1"/>
    <col min="2530" max="2530" width="10.5703125" style="71" bestFit="1" customWidth="1"/>
    <col min="2531" max="2779" width="9.140625" style="71"/>
    <col min="2780" max="2780" width="4.5703125" style="71" customWidth="1"/>
    <col min="2781" max="2781" width="7" style="71" customWidth="1"/>
    <col min="2782" max="2782" width="49.85546875" style="71" customWidth="1"/>
    <col min="2783" max="2783" width="8" style="71" customWidth="1"/>
    <col min="2784" max="2784" width="9.85546875" style="71" customWidth="1"/>
    <col min="2785" max="2785" width="8.140625" style="71" bestFit="1" customWidth="1"/>
    <col min="2786" max="2786" width="10.5703125" style="71" bestFit="1" customWidth="1"/>
    <col min="2787" max="3035" width="9.140625" style="71"/>
    <col min="3036" max="3036" width="4.5703125" style="71" customWidth="1"/>
    <col min="3037" max="3037" width="7" style="71" customWidth="1"/>
    <col min="3038" max="3038" width="49.85546875" style="71" customWidth="1"/>
    <col min="3039" max="3039" width="8" style="71" customWidth="1"/>
    <col min="3040" max="3040" width="9.85546875" style="71" customWidth="1"/>
    <col min="3041" max="3041" width="8.140625" style="71" bestFit="1" customWidth="1"/>
    <col min="3042" max="3042" width="10.5703125" style="71" bestFit="1" customWidth="1"/>
    <col min="3043" max="3291" width="9.140625" style="71"/>
    <col min="3292" max="3292" width="4.5703125" style="71" customWidth="1"/>
    <col min="3293" max="3293" width="7" style="71" customWidth="1"/>
    <col min="3294" max="3294" width="49.85546875" style="71" customWidth="1"/>
    <col min="3295" max="3295" width="8" style="71" customWidth="1"/>
    <col min="3296" max="3296" width="9.85546875" style="71" customWidth="1"/>
    <col min="3297" max="3297" width="8.140625" style="71" bestFit="1" customWidth="1"/>
    <col min="3298" max="3298" width="10.5703125" style="71" bestFit="1" customWidth="1"/>
    <col min="3299" max="3547" width="9.140625" style="71"/>
    <col min="3548" max="3548" width="4.5703125" style="71" customWidth="1"/>
    <col min="3549" max="3549" width="7" style="71" customWidth="1"/>
    <col min="3550" max="3550" width="49.85546875" style="71" customWidth="1"/>
    <col min="3551" max="3551" width="8" style="71" customWidth="1"/>
    <col min="3552" max="3552" width="9.85546875" style="71" customWidth="1"/>
    <col min="3553" max="3553" width="8.140625" style="71" bestFit="1" customWidth="1"/>
    <col min="3554" max="3554" width="10.5703125" style="71" bestFit="1" customWidth="1"/>
    <col min="3555" max="3803" width="9.140625" style="71"/>
    <col min="3804" max="3804" width="4.5703125" style="71" customWidth="1"/>
    <col min="3805" max="3805" width="7" style="71" customWidth="1"/>
    <col min="3806" max="3806" width="49.85546875" style="71" customWidth="1"/>
    <col min="3807" max="3807" width="8" style="71" customWidth="1"/>
    <col min="3808" max="3808" width="9.85546875" style="71" customWidth="1"/>
    <col min="3809" max="3809" width="8.140625" style="71" bestFit="1" customWidth="1"/>
    <col min="3810" max="3810" width="10.5703125" style="71" bestFit="1" customWidth="1"/>
    <col min="3811" max="4059" width="9.140625" style="71"/>
    <col min="4060" max="4060" width="4.5703125" style="71" customWidth="1"/>
    <col min="4061" max="4061" width="7" style="71" customWidth="1"/>
    <col min="4062" max="4062" width="49.85546875" style="71" customWidth="1"/>
    <col min="4063" max="4063" width="8" style="71" customWidth="1"/>
    <col min="4064" max="4064" width="9.85546875" style="71" customWidth="1"/>
    <col min="4065" max="4065" width="8.140625" style="71" bestFit="1" customWidth="1"/>
    <col min="4066" max="4066" width="10.5703125" style="71" bestFit="1" customWidth="1"/>
    <col min="4067" max="4315" width="9.140625" style="71"/>
    <col min="4316" max="4316" width="4.5703125" style="71" customWidth="1"/>
    <col min="4317" max="4317" width="7" style="71" customWidth="1"/>
    <col min="4318" max="4318" width="49.85546875" style="71" customWidth="1"/>
    <col min="4319" max="4319" width="8" style="71" customWidth="1"/>
    <col min="4320" max="4320" width="9.85546875" style="71" customWidth="1"/>
    <col min="4321" max="4321" width="8.140625" style="71" bestFit="1" customWidth="1"/>
    <col min="4322" max="4322" width="10.5703125" style="71" bestFit="1" customWidth="1"/>
    <col min="4323" max="4571" width="9.140625" style="71"/>
    <col min="4572" max="4572" width="4.5703125" style="71" customWidth="1"/>
    <col min="4573" max="4573" width="7" style="71" customWidth="1"/>
    <col min="4574" max="4574" width="49.85546875" style="71" customWidth="1"/>
    <col min="4575" max="4575" width="8" style="71" customWidth="1"/>
    <col min="4576" max="4576" width="9.85546875" style="71" customWidth="1"/>
    <col min="4577" max="4577" width="8.140625" style="71" bestFit="1" customWidth="1"/>
    <col min="4578" max="4578" width="10.5703125" style="71" bestFit="1" customWidth="1"/>
    <col min="4579" max="4827" width="9.140625" style="71"/>
    <col min="4828" max="4828" width="4.5703125" style="71" customWidth="1"/>
    <col min="4829" max="4829" width="7" style="71" customWidth="1"/>
    <col min="4830" max="4830" width="49.85546875" style="71" customWidth="1"/>
    <col min="4831" max="4831" width="8" style="71" customWidth="1"/>
    <col min="4832" max="4832" width="9.85546875" style="71" customWidth="1"/>
    <col min="4833" max="4833" width="8.140625" style="71" bestFit="1" customWidth="1"/>
    <col min="4834" max="4834" width="10.5703125" style="71" bestFit="1" customWidth="1"/>
    <col min="4835" max="5083" width="9.140625" style="71"/>
    <col min="5084" max="5084" width="4.5703125" style="71" customWidth="1"/>
    <col min="5085" max="5085" width="7" style="71" customWidth="1"/>
    <col min="5086" max="5086" width="49.85546875" style="71" customWidth="1"/>
    <col min="5087" max="5087" width="8" style="71" customWidth="1"/>
    <col min="5088" max="5088" width="9.85546875" style="71" customWidth="1"/>
    <col min="5089" max="5089" width="8.140625" style="71" bestFit="1" customWidth="1"/>
    <col min="5090" max="5090" width="10.5703125" style="71" bestFit="1" customWidth="1"/>
    <col min="5091" max="5339" width="9.140625" style="71"/>
    <col min="5340" max="5340" width="4.5703125" style="71" customWidth="1"/>
    <col min="5341" max="5341" width="7" style="71" customWidth="1"/>
    <col min="5342" max="5342" width="49.85546875" style="71" customWidth="1"/>
    <col min="5343" max="5343" width="8" style="71" customWidth="1"/>
    <col min="5344" max="5344" width="9.85546875" style="71" customWidth="1"/>
    <col min="5345" max="5345" width="8.140625" style="71" bestFit="1" customWidth="1"/>
    <col min="5346" max="5346" width="10.5703125" style="71" bestFit="1" customWidth="1"/>
    <col min="5347" max="5595" width="9.140625" style="71"/>
    <col min="5596" max="5596" width="4.5703125" style="71" customWidth="1"/>
    <col min="5597" max="5597" width="7" style="71" customWidth="1"/>
    <col min="5598" max="5598" width="49.85546875" style="71" customWidth="1"/>
    <col min="5599" max="5599" width="8" style="71" customWidth="1"/>
    <col min="5600" max="5600" width="9.85546875" style="71" customWidth="1"/>
    <col min="5601" max="5601" width="8.140625" style="71" bestFit="1" customWidth="1"/>
    <col min="5602" max="5602" width="10.5703125" style="71" bestFit="1" customWidth="1"/>
    <col min="5603" max="5851" width="9.140625" style="71"/>
    <col min="5852" max="5852" width="4.5703125" style="71" customWidth="1"/>
    <col min="5853" max="5853" width="7" style="71" customWidth="1"/>
    <col min="5854" max="5854" width="49.85546875" style="71" customWidth="1"/>
    <col min="5855" max="5855" width="8" style="71" customWidth="1"/>
    <col min="5856" max="5856" width="9.85546875" style="71" customWidth="1"/>
    <col min="5857" max="5857" width="8.140625" style="71" bestFit="1" customWidth="1"/>
    <col min="5858" max="5858" width="10.5703125" style="71" bestFit="1" customWidth="1"/>
    <col min="5859" max="6107" width="9.140625" style="71"/>
    <col min="6108" max="6108" width="4.5703125" style="71" customWidth="1"/>
    <col min="6109" max="6109" width="7" style="71" customWidth="1"/>
    <col min="6110" max="6110" width="49.85546875" style="71" customWidth="1"/>
    <col min="6111" max="6111" width="8" style="71" customWidth="1"/>
    <col min="6112" max="6112" width="9.85546875" style="71" customWidth="1"/>
    <col min="6113" max="6113" width="8.140625" style="71" bestFit="1" customWidth="1"/>
    <col min="6114" max="6114" width="10.5703125" style="71" bestFit="1" customWidth="1"/>
    <col min="6115" max="6363" width="9.140625" style="71"/>
    <col min="6364" max="6364" width="4.5703125" style="71" customWidth="1"/>
    <col min="6365" max="6365" width="7" style="71" customWidth="1"/>
    <col min="6366" max="6366" width="49.85546875" style="71" customWidth="1"/>
    <col min="6367" max="6367" width="8" style="71" customWidth="1"/>
    <col min="6368" max="6368" width="9.85546875" style="71" customWidth="1"/>
    <col min="6369" max="6369" width="8.140625" style="71" bestFit="1" customWidth="1"/>
    <col min="6370" max="6370" width="10.5703125" style="71" bestFit="1" customWidth="1"/>
    <col min="6371" max="6619" width="9.140625" style="71"/>
    <col min="6620" max="6620" width="4.5703125" style="71" customWidth="1"/>
    <col min="6621" max="6621" width="7" style="71" customWidth="1"/>
    <col min="6622" max="6622" width="49.85546875" style="71" customWidth="1"/>
    <col min="6623" max="6623" width="8" style="71" customWidth="1"/>
    <col min="6624" max="6624" width="9.85546875" style="71" customWidth="1"/>
    <col min="6625" max="6625" width="8.140625" style="71" bestFit="1" customWidth="1"/>
    <col min="6626" max="6626" width="10.5703125" style="71" bestFit="1" customWidth="1"/>
    <col min="6627" max="6875" width="9.140625" style="71"/>
    <col min="6876" max="6876" width="4.5703125" style="71" customWidth="1"/>
    <col min="6877" max="6877" width="7" style="71" customWidth="1"/>
    <col min="6878" max="6878" width="49.85546875" style="71" customWidth="1"/>
    <col min="6879" max="6879" width="8" style="71" customWidth="1"/>
    <col min="6880" max="6880" width="9.85546875" style="71" customWidth="1"/>
    <col min="6881" max="6881" width="8.140625" style="71" bestFit="1" customWidth="1"/>
    <col min="6882" max="6882" width="10.5703125" style="71" bestFit="1" customWidth="1"/>
    <col min="6883" max="7131" width="9.140625" style="71"/>
    <col min="7132" max="7132" width="4.5703125" style="71" customWidth="1"/>
    <col min="7133" max="7133" width="7" style="71" customWidth="1"/>
    <col min="7134" max="7134" width="49.85546875" style="71" customWidth="1"/>
    <col min="7135" max="7135" width="8" style="71" customWidth="1"/>
    <col min="7136" max="7136" width="9.85546875" style="71" customWidth="1"/>
    <col min="7137" max="7137" width="8.140625" style="71" bestFit="1" customWidth="1"/>
    <col min="7138" max="7138" width="10.5703125" style="71" bestFit="1" customWidth="1"/>
    <col min="7139" max="7387" width="9.140625" style="71"/>
    <col min="7388" max="7388" width="4.5703125" style="71" customWidth="1"/>
    <col min="7389" max="7389" width="7" style="71" customWidth="1"/>
    <col min="7390" max="7390" width="49.85546875" style="71" customWidth="1"/>
    <col min="7391" max="7391" width="8" style="71" customWidth="1"/>
    <col min="7392" max="7392" width="9.85546875" style="71" customWidth="1"/>
    <col min="7393" max="7393" width="8.140625" style="71" bestFit="1" customWidth="1"/>
    <col min="7394" max="7394" width="10.5703125" style="71" bestFit="1" customWidth="1"/>
    <col min="7395" max="7643" width="9.140625" style="71"/>
    <col min="7644" max="7644" width="4.5703125" style="71" customWidth="1"/>
    <col min="7645" max="7645" width="7" style="71" customWidth="1"/>
    <col min="7646" max="7646" width="49.85546875" style="71" customWidth="1"/>
    <col min="7647" max="7647" width="8" style="71" customWidth="1"/>
    <col min="7648" max="7648" width="9.85546875" style="71" customWidth="1"/>
    <col min="7649" max="7649" width="8.140625" style="71" bestFit="1" customWidth="1"/>
    <col min="7650" max="7650" width="10.5703125" style="71" bestFit="1" customWidth="1"/>
    <col min="7651" max="7899" width="9.140625" style="71"/>
    <col min="7900" max="7900" width="4.5703125" style="71" customWidth="1"/>
    <col min="7901" max="7901" width="7" style="71" customWidth="1"/>
    <col min="7902" max="7902" width="49.85546875" style="71" customWidth="1"/>
    <col min="7903" max="7903" width="8" style="71" customWidth="1"/>
    <col min="7904" max="7904" width="9.85546875" style="71" customWidth="1"/>
    <col min="7905" max="7905" width="8.140625" style="71" bestFit="1" customWidth="1"/>
    <col min="7906" max="7906" width="10.5703125" style="71" bestFit="1" customWidth="1"/>
    <col min="7907" max="8155" width="9.140625" style="71"/>
    <col min="8156" max="8156" width="4.5703125" style="71" customWidth="1"/>
    <col min="8157" max="8157" width="7" style="71" customWidth="1"/>
    <col min="8158" max="8158" width="49.85546875" style="71" customWidth="1"/>
    <col min="8159" max="8159" width="8" style="71" customWidth="1"/>
    <col min="8160" max="8160" width="9.85546875" style="71" customWidth="1"/>
    <col min="8161" max="8161" width="8.140625" style="71" bestFit="1" customWidth="1"/>
    <col min="8162" max="8162" width="10.5703125" style="71" bestFit="1" customWidth="1"/>
    <col min="8163" max="8411" width="9.140625" style="71"/>
    <col min="8412" max="8412" width="4.5703125" style="71" customWidth="1"/>
    <col min="8413" max="8413" width="7" style="71" customWidth="1"/>
    <col min="8414" max="8414" width="49.85546875" style="71" customWidth="1"/>
    <col min="8415" max="8415" width="8" style="71" customWidth="1"/>
    <col min="8416" max="8416" width="9.85546875" style="71" customWidth="1"/>
    <col min="8417" max="8417" width="8.140625" style="71" bestFit="1" customWidth="1"/>
    <col min="8418" max="8418" width="10.5703125" style="71" bestFit="1" customWidth="1"/>
    <col min="8419" max="8667" width="9.140625" style="71"/>
    <col min="8668" max="8668" width="4.5703125" style="71" customWidth="1"/>
    <col min="8669" max="8669" width="7" style="71" customWidth="1"/>
    <col min="8670" max="8670" width="49.85546875" style="71" customWidth="1"/>
    <col min="8671" max="8671" width="8" style="71" customWidth="1"/>
    <col min="8672" max="8672" width="9.85546875" style="71" customWidth="1"/>
    <col min="8673" max="8673" width="8.140625" style="71" bestFit="1" customWidth="1"/>
    <col min="8674" max="8674" width="10.5703125" style="71" bestFit="1" customWidth="1"/>
    <col min="8675" max="8923" width="9.140625" style="71"/>
    <col min="8924" max="8924" width="4.5703125" style="71" customWidth="1"/>
    <col min="8925" max="8925" width="7" style="71" customWidth="1"/>
    <col min="8926" max="8926" width="49.85546875" style="71" customWidth="1"/>
    <col min="8927" max="8927" width="8" style="71" customWidth="1"/>
    <col min="8928" max="8928" width="9.85546875" style="71" customWidth="1"/>
    <col min="8929" max="8929" width="8.140625" style="71" bestFit="1" customWidth="1"/>
    <col min="8930" max="8930" width="10.5703125" style="71" bestFit="1" customWidth="1"/>
    <col min="8931" max="9179" width="9.140625" style="71"/>
    <col min="9180" max="9180" width="4.5703125" style="71" customWidth="1"/>
    <col min="9181" max="9181" width="7" style="71" customWidth="1"/>
    <col min="9182" max="9182" width="49.85546875" style="71" customWidth="1"/>
    <col min="9183" max="9183" width="8" style="71" customWidth="1"/>
    <col min="9184" max="9184" width="9.85546875" style="71" customWidth="1"/>
    <col min="9185" max="9185" width="8.140625" style="71" bestFit="1" customWidth="1"/>
    <col min="9186" max="9186" width="10.5703125" style="71" bestFit="1" customWidth="1"/>
    <col min="9187" max="9435" width="9.140625" style="71"/>
    <col min="9436" max="9436" width="4.5703125" style="71" customWidth="1"/>
    <col min="9437" max="9437" width="7" style="71" customWidth="1"/>
    <col min="9438" max="9438" width="49.85546875" style="71" customWidth="1"/>
    <col min="9439" max="9439" width="8" style="71" customWidth="1"/>
    <col min="9440" max="9440" width="9.85546875" style="71" customWidth="1"/>
    <col min="9441" max="9441" width="8.140625" style="71" bestFit="1" customWidth="1"/>
    <col min="9442" max="9442" width="10.5703125" style="71" bestFit="1" customWidth="1"/>
    <col min="9443" max="9691" width="9.140625" style="71"/>
    <col min="9692" max="9692" width="4.5703125" style="71" customWidth="1"/>
    <col min="9693" max="9693" width="7" style="71" customWidth="1"/>
    <col min="9694" max="9694" width="49.85546875" style="71" customWidth="1"/>
    <col min="9695" max="9695" width="8" style="71" customWidth="1"/>
    <col min="9696" max="9696" width="9.85546875" style="71" customWidth="1"/>
    <col min="9697" max="9697" width="8.140625" style="71" bestFit="1" customWidth="1"/>
    <col min="9698" max="9698" width="10.5703125" style="71" bestFit="1" customWidth="1"/>
    <col min="9699" max="9947" width="9.140625" style="71"/>
    <col min="9948" max="9948" width="4.5703125" style="71" customWidth="1"/>
    <col min="9949" max="9949" width="7" style="71" customWidth="1"/>
    <col min="9950" max="9950" width="49.85546875" style="71" customWidth="1"/>
    <col min="9951" max="9951" width="8" style="71" customWidth="1"/>
    <col min="9952" max="9952" width="9.85546875" style="71" customWidth="1"/>
    <col min="9953" max="9953" width="8.140625" style="71" bestFit="1" customWidth="1"/>
    <col min="9954" max="9954" width="10.5703125" style="71" bestFit="1" customWidth="1"/>
    <col min="9955" max="10203" width="9.140625" style="71"/>
    <col min="10204" max="10204" width="4.5703125" style="71" customWidth="1"/>
    <col min="10205" max="10205" width="7" style="71" customWidth="1"/>
    <col min="10206" max="10206" width="49.85546875" style="71" customWidth="1"/>
    <col min="10207" max="10207" width="8" style="71" customWidth="1"/>
    <col min="10208" max="10208" width="9.85546875" style="71" customWidth="1"/>
    <col min="10209" max="10209" width="8.140625" style="71" bestFit="1" customWidth="1"/>
    <col min="10210" max="10210" width="10.5703125" style="71" bestFit="1" customWidth="1"/>
    <col min="10211" max="10459" width="9.140625" style="71"/>
    <col min="10460" max="10460" width="4.5703125" style="71" customWidth="1"/>
    <col min="10461" max="10461" width="7" style="71" customWidth="1"/>
    <col min="10462" max="10462" width="49.85546875" style="71" customWidth="1"/>
    <col min="10463" max="10463" width="8" style="71" customWidth="1"/>
    <col min="10464" max="10464" width="9.85546875" style="71" customWidth="1"/>
    <col min="10465" max="10465" width="8.140625" style="71" bestFit="1" customWidth="1"/>
    <col min="10466" max="10466" width="10.5703125" style="71" bestFit="1" customWidth="1"/>
    <col min="10467" max="10715" width="9.140625" style="71"/>
    <col min="10716" max="10716" width="4.5703125" style="71" customWidth="1"/>
    <col min="10717" max="10717" width="7" style="71" customWidth="1"/>
    <col min="10718" max="10718" width="49.85546875" style="71" customWidth="1"/>
    <col min="10719" max="10719" width="8" style="71" customWidth="1"/>
    <col min="10720" max="10720" width="9.85546875" style="71" customWidth="1"/>
    <col min="10721" max="10721" width="8.140625" style="71" bestFit="1" customWidth="1"/>
    <col min="10722" max="10722" width="10.5703125" style="71" bestFit="1" customWidth="1"/>
    <col min="10723" max="10971" width="9.140625" style="71"/>
    <col min="10972" max="10972" width="4.5703125" style="71" customWidth="1"/>
    <col min="10973" max="10973" width="7" style="71" customWidth="1"/>
    <col min="10974" max="10974" width="49.85546875" style="71" customWidth="1"/>
    <col min="10975" max="10975" width="8" style="71" customWidth="1"/>
    <col min="10976" max="10976" width="9.85546875" style="71" customWidth="1"/>
    <col min="10977" max="10977" width="8.140625" style="71" bestFit="1" customWidth="1"/>
    <col min="10978" max="10978" width="10.5703125" style="71" bestFit="1" customWidth="1"/>
    <col min="10979" max="11227" width="9.140625" style="71"/>
    <col min="11228" max="11228" width="4.5703125" style="71" customWidth="1"/>
    <col min="11229" max="11229" width="7" style="71" customWidth="1"/>
    <col min="11230" max="11230" width="49.85546875" style="71" customWidth="1"/>
    <col min="11231" max="11231" width="8" style="71" customWidth="1"/>
    <col min="11232" max="11232" width="9.85546875" style="71" customWidth="1"/>
    <col min="11233" max="11233" width="8.140625" style="71" bestFit="1" customWidth="1"/>
    <col min="11234" max="11234" width="10.5703125" style="71" bestFit="1" customWidth="1"/>
    <col min="11235" max="11483" width="9.140625" style="71"/>
    <col min="11484" max="11484" width="4.5703125" style="71" customWidth="1"/>
    <col min="11485" max="11485" width="7" style="71" customWidth="1"/>
    <col min="11486" max="11486" width="49.85546875" style="71" customWidth="1"/>
    <col min="11487" max="11487" width="8" style="71" customWidth="1"/>
    <col min="11488" max="11488" width="9.85546875" style="71" customWidth="1"/>
    <col min="11489" max="11489" width="8.140625" style="71" bestFit="1" customWidth="1"/>
    <col min="11490" max="11490" width="10.5703125" style="71" bestFit="1" customWidth="1"/>
    <col min="11491" max="11739" width="9.140625" style="71"/>
    <col min="11740" max="11740" width="4.5703125" style="71" customWidth="1"/>
    <col min="11741" max="11741" width="7" style="71" customWidth="1"/>
    <col min="11742" max="11742" width="49.85546875" style="71" customWidth="1"/>
    <col min="11743" max="11743" width="8" style="71" customWidth="1"/>
    <col min="11744" max="11744" width="9.85546875" style="71" customWidth="1"/>
    <col min="11745" max="11745" width="8.140625" style="71" bestFit="1" customWidth="1"/>
    <col min="11746" max="11746" width="10.5703125" style="71" bestFit="1" customWidth="1"/>
    <col min="11747" max="11995" width="9.140625" style="71"/>
    <col min="11996" max="11996" width="4.5703125" style="71" customWidth="1"/>
    <col min="11997" max="11997" width="7" style="71" customWidth="1"/>
    <col min="11998" max="11998" width="49.85546875" style="71" customWidth="1"/>
    <col min="11999" max="11999" width="8" style="71" customWidth="1"/>
    <col min="12000" max="12000" width="9.85546875" style="71" customWidth="1"/>
    <col min="12001" max="12001" width="8.140625" style="71" bestFit="1" customWidth="1"/>
    <col min="12002" max="12002" width="10.5703125" style="71" bestFit="1" customWidth="1"/>
    <col min="12003" max="12251" width="9.140625" style="71"/>
    <col min="12252" max="12252" width="4.5703125" style="71" customWidth="1"/>
    <col min="12253" max="12253" width="7" style="71" customWidth="1"/>
    <col min="12254" max="12254" width="49.85546875" style="71" customWidth="1"/>
    <col min="12255" max="12255" width="8" style="71" customWidth="1"/>
    <col min="12256" max="12256" width="9.85546875" style="71" customWidth="1"/>
    <col min="12257" max="12257" width="8.140625" style="71" bestFit="1" customWidth="1"/>
    <col min="12258" max="12258" width="10.5703125" style="71" bestFit="1" customWidth="1"/>
    <col min="12259" max="12507" width="9.140625" style="71"/>
    <col min="12508" max="12508" width="4.5703125" style="71" customWidth="1"/>
    <col min="12509" max="12509" width="7" style="71" customWidth="1"/>
    <col min="12510" max="12510" width="49.85546875" style="71" customWidth="1"/>
    <col min="12511" max="12511" width="8" style="71" customWidth="1"/>
    <col min="12512" max="12512" width="9.85546875" style="71" customWidth="1"/>
    <col min="12513" max="12513" width="8.140625" style="71" bestFit="1" customWidth="1"/>
    <col min="12514" max="12514" width="10.5703125" style="71" bestFit="1" customWidth="1"/>
    <col min="12515" max="12763" width="9.140625" style="71"/>
    <col min="12764" max="12764" width="4.5703125" style="71" customWidth="1"/>
    <col min="12765" max="12765" width="7" style="71" customWidth="1"/>
    <col min="12766" max="12766" width="49.85546875" style="71" customWidth="1"/>
    <col min="12767" max="12767" width="8" style="71" customWidth="1"/>
    <col min="12768" max="12768" width="9.85546875" style="71" customWidth="1"/>
    <col min="12769" max="12769" width="8.140625" style="71" bestFit="1" customWidth="1"/>
    <col min="12770" max="12770" width="10.5703125" style="71" bestFit="1" customWidth="1"/>
    <col min="12771" max="13019" width="9.140625" style="71"/>
    <col min="13020" max="13020" width="4.5703125" style="71" customWidth="1"/>
    <col min="13021" max="13021" width="7" style="71" customWidth="1"/>
    <col min="13022" max="13022" width="49.85546875" style="71" customWidth="1"/>
    <col min="13023" max="13023" width="8" style="71" customWidth="1"/>
    <col min="13024" max="13024" width="9.85546875" style="71" customWidth="1"/>
    <col min="13025" max="13025" width="8.140625" style="71" bestFit="1" customWidth="1"/>
    <col min="13026" max="13026" width="10.5703125" style="71" bestFit="1" customWidth="1"/>
    <col min="13027" max="13275" width="9.140625" style="71"/>
    <col min="13276" max="13276" width="4.5703125" style="71" customWidth="1"/>
    <col min="13277" max="13277" width="7" style="71" customWidth="1"/>
    <col min="13278" max="13278" width="49.85546875" style="71" customWidth="1"/>
    <col min="13279" max="13279" width="8" style="71" customWidth="1"/>
    <col min="13280" max="13280" width="9.85546875" style="71" customWidth="1"/>
    <col min="13281" max="13281" width="8.140625" style="71" bestFit="1" customWidth="1"/>
    <col min="13282" max="13282" width="10.5703125" style="71" bestFit="1" customWidth="1"/>
    <col min="13283" max="13531" width="9.140625" style="71"/>
    <col min="13532" max="13532" width="4.5703125" style="71" customWidth="1"/>
    <col min="13533" max="13533" width="7" style="71" customWidth="1"/>
    <col min="13534" max="13534" width="49.85546875" style="71" customWidth="1"/>
    <col min="13535" max="13535" width="8" style="71" customWidth="1"/>
    <col min="13536" max="13536" width="9.85546875" style="71" customWidth="1"/>
    <col min="13537" max="13537" width="8.140625" style="71" bestFit="1" customWidth="1"/>
    <col min="13538" max="13538" width="10.5703125" style="71" bestFit="1" customWidth="1"/>
    <col min="13539" max="13787" width="9.140625" style="71"/>
    <col min="13788" max="13788" width="4.5703125" style="71" customWidth="1"/>
    <col min="13789" max="13789" width="7" style="71" customWidth="1"/>
    <col min="13790" max="13790" width="49.85546875" style="71" customWidth="1"/>
    <col min="13791" max="13791" width="8" style="71" customWidth="1"/>
    <col min="13792" max="13792" width="9.85546875" style="71" customWidth="1"/>
    <col min="13793" max="13793" width="8.140625" style="71" bestFit="1" customWidth="1"/>
    <col min="13794" max="13794" width="10.5703125" style="71" bestFit="1" customWidth="1"/>
    <col min="13795" max="14043" width="9.140625" style="71"/>
    <col min="14044" max="14044" width="4.5703125" style="71" customWidth="1"/>
    <col min="14045" max="14045" width="7" style="71" customWidth="1"/>
    <col min="14046" max="14046" width="49.85546875" style="71" customWidth="1"/>
    <col min="14047" max="14047" width="8" style="71" customWidth="1"/>
    <col min="14048" max="14048" width="9.85546875" style="71" customWidth="1"/>
    <col min="14049" max="14049" width="8.140625" style="71" bestFit="1" customWidth="1"/>
    <col min="14050" max="14050" width="10.5703125" style="71" bestFit="1" customWidth="1"/>
    <col min="14051" max="14299" width="9.140625" style="71"/>
    <col min="14300" max="14300" width="4.5703125" style="71" customWidth="1"/>
    <col min="14301" max="14301" width="7" style="71" customWidth="1"/>
    <col min="14302" max="14302" width="49.85546875" style="71" customWidth="1"/>
    <col min="14303" max="14303" width="8" style="71" customWidth="1"/>
    <col min="14304" max="14304" width="9.85546875" style="71" customWidth="1"/>
    <col min="14305" max="14305" width="8.140625" style="71" bestFit="1" customWidth="1"/>
    <col min="14306" max="14306" width="10.5703125" style="71" bestFit="1" customWidth="1"/>
    <col min="14307" max="14555" width="9.140625" style="71"/>
    <col min="14556" max="14556" width="4.5703125" style="71" customWidth="1"/>
    <col min="14557" max="14557" width="7" style="71" customWidth="1"/>
    <col min="14558" max="14558" width="49.85546875" style="71" customWidth="1"/>
    <col min="14559" max="14559" width="8" style="71" customWidth="1"/>
    <col min="14560" max="14560" width="9.85546875" style="71" customWidth="1"/>
    <col min="14561" max="14561" width="8.140625" style="71" bestFit="1" customWidth="1"/>
    <col min="14562" max="14562" width="10.5703125" style="71" bestFit="1" customWidth="1"/>
    <col min="14563" max="14811" width="9.140625" style="71"/>
    <col min="14812" max="14812" width="4.5703125" style="71" customWidth="1"/>
    <col min="14813" max="14813" width="7" style="71" customWidth="1"/>
    <col min="14814" max="14814" width="49.85546875" style="71" customWidth="1"/>
    <col min="14815" max="14815" width="8" style="71" customWidth="1"/>
    <col min="14816" max="14816" width="9.85546875" style="71" customWidth="1"/>
    <col min="14817" max="14817" width="8.140625" style="71" bestFit="1" customWidth="1"/>
    <col min="14818" max="14818" width="10.5703125" style="71" bestFit="1" customWidth="1"/>
    <col min="14819" max="15067" width="9.140625" style="71"/>
    <col min="15068" max="15068" width="4.5703125" style="71" customWidth="1"/>
    <col min="15069" max="15069" width="7" style="71" customWidth="1"/>
    <col min="15070" max="15070" width="49.85546875" style="71" customWidth="1"/>
    <col min="15071" max="15071" width="8" style="71" customWidth="1"/>
    <col min="15072" max="15072" width="9.85546875" style="71" customWidth="1"/>
    <col min="15073" max="15073" width="8.140625" style="71" bestFit="1" customWidth="1"/>
    <col min="15074" max="15074" width="10.5703125" style="71" bestFit="1" customWidth="1"/>
    <col min="15075" max="15323" width="9.140625" style="71"/>
    <col min="15324" max="15324" width="4.5703125" style="71" customWidth="1"/>
    <col min="15325" max="15325" width="7" style="71" customWidth="1"/>
    <col min="15326" max="15326" width="49.85546875" style="71" customWidth="1"/>
    <col min="15327" max="15327" width="8" style="71" customWidth="1"/>
    <col min="15328" max="15328" width="9.85546875" style="71" customWidth="1"/>
    <col min="15329" max="15329" width="8.140625" style="71" bestFit="1" customWidth="1"/>
    <col min="15330" max="15330" width="10.5703125" style="71" bestFit="1" customWidth="1"/>
    <col min="15331" max="15579" width="9.140625" style="71"/>
    <col min="15580" max="15580" width="4.5703125" style="71" customWidth="1"/>
    <col min="15581" max="15581" width="7" style="71" customWidth="1"/>
    <col min="15582" max="15582" width="49.85546875" style="71" customWidth="1"/>
    <col min="15583" max="15583" width="8" style="71" customWidth="1"/>
    <col min="15584" max="15584" width="9.85546875" style="71" customWidth="1"/>
    <col min="15585" max="15585" width="8.140625" style="71" bestFit="1" customWidth="1"/>
    <col min="15586" max="15586" width="10.5703125" style="71" bestFit="1" customWidth="1"/>
    <col min="15587" max="15835" width="9.140625" style="71"/>
    <col min="15836" max="15836" width="4.5703125" style="71" customWidth="1"/>
    <col min="15837" max="15837" width="7" style="71" customWidth="1"/>
    <col min="15838" max="15838" width="49.85546875" style="71" customWidth="1"/>
    <col min="15839" max="15839" width="8" style="71" customWidth="1"/>
    <col min="15840" max="15840" width="9.85546875" style="71" customWidth="1"/>
    <col min="15841" max="15841" width="8.140625" style="71" bestFit="1" customWidth="1"/>
    <col min="15842" max="15842" width="10.5703125" style="71" bestFit="1" customWidth="1"/>
    <col min="15843" max="16091" width="9.140625" style="71"/>
    <col min="16092" max="16092" width="4.5703125" style="71" customWidth="1"/>
    <col min="16093" max="16093" width="7" style="71" customWidth="1"/>
    <col min="16094" max="16094" width="49.85546875" style="71" customWidth="1"/>
    <col min="16095" max="16095" width="8" style="71" customWidth="1"/>
    <col min="16096" max="16096" width="9.85546875" style="71" customWidth="1"/>
    <col min="16097" max="16097" width="8.140625" style="71" bestFit="1" customWidth="1"/>
    <col min="16098" max="16098" width="10.5703125" style="71" bestFit="1" customWidth="1"/>
    <col min="16099" max="16384" width="9.140625" style="71"/>
  </cols>
  <sheetData>
    <row r="1" spans="1:14" s="70" customFormat="1" ht="16.5" customHeight="1" x14ac:dyDescent="0.25">
      <c r="A1" s="180" t="s">
        <v>32</v>
      </c>
      <c r="B1" s="180"/>
      <c r="C1" s="180"/>
      <c r="D1" s="180"/>
      <c r="E1" s="180"/>
      <c r="F1" s="180"/>
      <c r="G1" s="152"/>
      <c r="H1" s="152"/>
      <c r="I1" s="152"/>
      <c r="J1" s="152"/>
      <c r="K1" s="152"/>
      <c r="L1" s="152"/>
      <c r="M1" s="152"/>
      <c r="N1" s="152"/>
    </row>
    <row r="2" spans="1:14" ht="16.5" customHeight="1" x14ac:dyDescent="0.25">
      <c r="A2" s="180"/>
      <c r="B2" s="180"/>
      <c r="C2" s="180"/>
      <c r="D2" s="180"/>
      <c r="E2" s="180"/>
      <c r="F2" s="180"/>
      <c r="G2" s="75"/>
      <c r="I2" s="75"/>
      <c r="J2" s="75"/>
      <c r="K2" s="75"/>
      <c r="L2" s="75"/>
      <c r="M2" s="75"/>
      <c r="N2" s="75"/>
    </row>
    <row r="3" spans="1:14" ht="16.5" customHeight="1" x14ac:dyDescent="0.25">
      <c r="A3" s="180"/>
      <c r="B3" s="180"/>
      <c r="C3" s="180"/>
      <c r="D3" s="180"/>
      <c r="E3" s="180"/>
      <c r="F3" s="180"/>
      <c r="G3" s="75"/>
      <c r="I3" s="75"/>
      <c r="J3" s="75"/>
      <c r="K3" s="75"/>
      <c r="L3" s="75"/>
      <c r="M3" s="75"/>
      <c r="N3" s="75"/>
    </row>
    <row r="4" spans="1:14" ht="16.5" x14ac:dyDescent="0.25">
      <c r="A4" s="175" t="s">
        <v>127</v>
      </c>
      <c r="B4" s="176"/>
      <c r="C4" s="177" t="s">
        <v>119</v>
      </c>
      <c r="D4" s="178"/>
      <c r="E4" s="178"/>
      <c r="F4" s="178"/>
      <c r="G4" s="75"/>
      <c r="I4" s="75"/>
      <c r="J4" s="75"/>
      <c r="K4" s="75"/>
      <c r="L4" s="75"/>
      <c r="M4" s="75"/>
      <c r="N4" s="75"/>
    </row>
    <row r="5" spans="1:14" ht="16.5" x14ac:dyDescent="0.25">
      <c r="A5" s="179" t="s">
        <v>126</v>
      </c>
      <c r="B5" s="176"/>
      <c r="C5" s="178"/>
      <c r="D5" s="178"/>
      <c r="E5" s="178"/>
      <c r="F5" s="178"/>
      <c r="G5" s="75"/>
      <c r="I5" s="75"/>
      <c r="J5" s="75"/>
      <c r="K5" s="75"/>
      <c r="L5" s="75"/>
      <c r="M5" s="75"/>
      <c r="N5" s="75"/>
    </row>
    <row r="6" spans="1:14" ht="12.75" customHeight="1" x14ac:dyDescent="0.25">
      <c r="A6" s="183"/>
      <c r="B6" s="183"/>
      <c r="C6" s="130"/>
      <c r="D6" s="130"/>
      <c r="E6" s="130"/>
      <c r="F6" s="130"/>
    </row>
    <row r="7" spans="1:14" ht="12.75" customHeight="1" x14ac:dyDescent="0.25">
      <c r="A7" s="183"/>
      <c r="B7" s="183"/>
      <c r="C7" s="130"/>
      <c r="D7" s="130"/>
      <c r="E7" s="130"/>
      <c r="F7" s="130"/>
    </row>
    <row r="8" spans="1:14" ht="12.75" customHeight="1" x14ac:dyDescent="0.25">
      <c r="A8" s="163"/>
      <c r="B8" s="163"/>
      <c r="C8" s="130"/>
      <c r="D8" s="130"/>
      <c r="E8" s="130"/>
      <c r="F8" s="130"/>
    </row>
    <row r="9" spans="1:14" ht="12.75" customHeight="1" x14ac:dyDescent="0.25">
      <c r="A9" s="163"/>
      <c r="B9" s="163"/>
      <c r="C9" s="130"/>
      <c r="D9" s="130"/>
      <c r="E9" s="166"/>
      <c r="F9" s="199" t="s">
        <v>120</v>
      </c>
    </row>
    <row r="10" spans="1:14" ht="12.75" customHeight="1" x14ac:dyDescent="0.25">
      <c r="A10" s="163"/>
      <c r="B10" s="163"/>
      <c r="C10" s="130"/>
      <c r="D10" s="130"/>
      <c r="E10" s="166"/>
      <c r="F10" s="200" t="s">
        <v>121</v>
      </c>
    </row>
    <row r="11" spans="1:14" ht="12.75" customHeight="1" x14ac:dyDescent="0.25">
      <c r="A11" s="163"/>
      <c r="B11" s="163"/>
      <c r="C11" s="130"/>
      <c r="D11" s="130"/>
      <c r="E11" s="166"/>
      <c r="F11" s="200" t="s">
        <v>122</v>
      </c>
    </row>
    <row r="12" spans="1:14" ht="12.75" customHeight="1" x14ac:dyDescent="0.25">
      <c r="A12" s="163"/>
      <c r="B12" s="163"/>
      <c r="C12" s="130"/>
      <c r="D12" s="130"/>
      <c r="E12" s="166"/>
      <c r="F12" s="201" t="s">
        <v>125</v>
      </c>
    </row>
    <row r="13" spans="1:14" ht="12.75" customHeight="1" x14ac:dyDescent="0.25">
      <c r="A13" s="163"/>
      <c r="B13" s="163"/>
      <c r="C13" s="130"/>
      <c r="D13" s="130"/>
      <c r="E13" s="165"/>
      <c r="F13" s="200" t="s">
        <v>124</v>
      </c>
    </row>
    <row r="14" spans="1:14" ht="12.75" customHeight="1" x14ac:dyDescent="0.25">
      <c r="A14" s="163"/>
      <c r="B14" s="163"/>
      <c r="C14" s="130"/>
      <c r="D14" s="130"/>
      <c r="E14" s="166"/>
      <c r="F14" s="167" t="s">
        <v>123</v>
      </c>
    </row>
    <row r="15" spans="1:14" ht="12.75" customHeight="1" x14ac:dyDescent="0.25">
      <c r="A15" s="163"/>
      <c r="B15" s="163"/>
      <c r="C15" s="130"/>
      <c r="D15" s="130"/>
      <c r="E15" s="166"/>
      <c r="F15" s="168"/>
    </row>
    <row r="16" spans="1:14" ht="12.75" customHeight="1" x14ac:dyDescent="0.25">
      <c r="A16" s="163"/>
      <c r="B16" s="163"/>
      <c r="C16" s="130"/>
      <c r="D16" s="130"/>
      <c r="E16" s="130"/>
      <c r="F16" s="130"/>
    </row>
    <row r="17" spans="1:6" ht="12.75" customHeight="1" x14ac:dyDescent="0.25">
      <c r="A17" s="163"/>
      <c r="B17" s="163"/>
      <c r="C17" s="130"/>
      <c r="D17" s="130"/>
      <c r="E17" s="130"/>
      <c r="F17" s="130"/>
    </row>
    <row r="18" spans="1:6" ht="16.5" x14ac:dyDescent="0.3">
      <c r="A18" s="184"/>
      <c r="B18" s="185"/>
      <c r="C18" s="130"/>
      <c r="D18" s="130"/>
      <c r="E18" s="130"/>
      <c r="F18" s="130"/>
    </row>
    <row r="19" spans="1:6" s="113" customFormat="1" ht="15" x14ac:dyDescent="0.25">
      <c r="A19" s="186" t="str">
        <f>'SRES Costs'!$B$1</f>
        <v>Moy Imper Paraflex</v>
      </c>
      <c r="B19" s="187"/>
      <c r="C19" s="187"/>
      <c r="D19" s="187"/>
      <c r="E19" s="187"/>
      <c r="F19" s="188"/>
    </row>
    <row r="20" spans="1:6" s="113" customFormat="1" x14ac:dyDescent="0.25">
      <c r="A20" s="104" t="s">
        <v>33</v>
      </c>
      <c r="B20" s="114" t="s">
        <v>17</v>
      </c>
      <c r="C20" s="181" t="s">
        <v>34</v>
      </c>
      <c r="D20" s="181"/>
      <c r="E20" s="115" t="s">
        <v>35</v>
      </c>
      <c r="F20" s="116" t="s">
        <v>36</v>
      </c>
    </row>
    <row r="21" spans="1:6" s="113" customFormat="1" x14ac:dyDescent="0.25">
      <c r="A21" s="172" t="str">
        <f ca="1">'Flat Roofing'!B1</f>
        <v>Flat Roofing</v>
      </c>
      <c r="B21" s="173"/>
      <c r="C21" s="173"/>
      <c r="D21" s="173"/>
      <c r="E21" s="173"/>
      <c r="F21" s="174"/>
    </row>
    <row r="22" spans="1:6" s="113" customFormat="1" x14ac:dyDescent="0.25">
      <c r="A22" s="127">
        <v>1</v>
      </c>
      <c r="B22" s="127"/>
      <c r="C22" s="172" t="str">
        <f>CONCATENATE(COUNT(C23:C32), " item")</f>
        <v>10 item</v>
      </c>
      <c r="D22" s="174"/>
      <c r="E22" s="127"/>
      <c r="F22" s="127"/>
    </row>
    <row r="23" spans="1:6" s="113" customFormat="1" ht="38.25" x14ac:dyDescent="0.25">
      <c r="A23" s="104">
        <f>A22+0.01</f>
        <v>1.01</v>
      </c>
      <c r="B23" s="117" t="str">
        <f>boqTextWaterproofingWarm</f>
        <v>To supply and install Moy Imper Paraflex on Main Roof Deck, including: Impertene Bitumen Primer, Paraflex NT3/Base Sheet VCL (10m x 1m), Paraflex NT3/Base Sheet VCL (10m x 1m), Parflec ARD/S Bianco Reflecta Granular Cap Sheet (8m x 1m)</v>
      </c>
      <c r="C23" s="105">
        <f>'Flat Roofing'!E24</f>
        <v>3745</v>
      </c>
      <c r="D23" s="111" t="str">
        <f>'Flat Roofing'!E21</f>
        <v>m²</v>
      </c>
      <c r="E23" s="110">
        <f>RateSiteMainAreaWaterproofing</f>
        <v>49.043637499999996</v>
      </c>
      <c r="F23" s="108">
        <f>C23*E23</f>
        <v>183668.42243749998</v>
      </c>
    </row>
    <row r="24" spans="1:6" s="113" customFormat="1" ht="38.25" x14ac:dyDescent="0.25">
      <c r="A24" s="104">
        <f t="shared" ref="A24:A32" si="0">A23+0.01</f>
        <v>1.02</v>
      </c>
      <c r="B24" s="117" t="str">
        <f>boqTextInsulationUpstand</f>
        <v xml:space="preserve">Insulation System to Main Deck: Rockwool Hardwood Multi-Fix 150mm on and including Oxidised Bitumen Type 95/25, Rockwool Hardwood Multi-Fix 60mm, Oxidised Bitumen Type 95/25, Knauf Aquapanel Cement Board </v>
      </c>
      <c r="C24" s="105">
        <f>'Flat Roofing'!F24</f>
        <v>3745</v>
      </c>
      <c r="D24" s="111" t="str">
        <f>'Flat Roofing'!F21</f>
        <v>m²</v>
      </c>
      <c r="E24" s="110">
        <f>RateSiteMainAreaInsulation</f>
        <v>154.01100000000002</v>
      </c>
      <c r="F24" s="108">
        <f>C24*E24</f>
        <v>576771.19500000007</v>
      </c>
    </row>
    <row r="25" spans="1:6" s="113" customFormat="1" ht="63.75" x14ac:dyDescent="0.25">
      <c r="A25" s="104">
        <f t="shared" si="0"/>
        <v>1.03</v>
      </c>
      <c r="B25" s="117" t="str">
        <f>CONCATENATE("Tapered Area: ",boqTextWaterproofingWarm, ", with ", boqTextInsulationTapered)</f>
        <v xml:space="preserve">Tapered Area: To supply and install Moy Imper Paraflex on Main Roof Deck, including: Impertene Bitumen Primer, Paraflex NT3/Base Sheet VCL (10m x 1m), Paraflex NT3/Base Sheet VCL (10m x 1m), Parflec ARD/S Bianco Reflecta Granular Cap Sheet (8m x 1m), with Tapered Insulation System including: Oxidised Bitumen Type 95/25, Paratherm T - Tapered, Oxidised Bitumen Type 95/25, Knauf Aquapanel Cement Board </v>
      </c>
      <c r="C25" s="105">
        <f>'Flat Roofing'!H24</f>
        <v>155</v>
      </c>
      <c r="D25" s="111" t="str">
        <f>'Flat Roofing'!H21</f>
        <v>m²</v>
      </c>
      <c r="E25" s="110">
        <f>'Flat Roofing'!H7+'Flat Roofing'!G7</f>
        <v>329.39539749999994</v>
      </c>
      <c r="F25" s="108">
        <f>C25*E25</f>
        <v>51056.286612499993</v>
      </c>
    </row>
    <row r="26" spans="1:6" s="113" customFormat="1" ht="38.25" x14ac:dyDescent="0.25">
      <c r="A26" s="104">
        <f t="shared" si="0"/>
        <v>1.04</v>
      </c>
      <c r="B26" s="117" t="str">
        <f>CONCATENATE("Upstands 1m girth including: ", boqTextWaterproofingUpstand)</f>
        <v>Upstands 1m girth including: Impertene Bitumen Primer, Paraflex NT3/Base Sheet VCL (10m x 1m), Paraflex NT3/Base Sheet VCL (10m x 1m), Parflec ARD/S Bianco Reflecta Granular Cap Sheet (8m x 1m)</v>
      </c>
      <c r="C26" s="105">
        <f>'Flat Roofing'!I24</f>
        <v>40</v>
      </c>
      <c r="D26" s="111" t="str">
        <f>'Flat Roofing'!I21</f>
        <v>lm</v>
      </c>
      <c r="E26" s="110">
        <f>RateSiteMainUpstandToParapetWaterproofing</f>
        <v>49.043637500000003</v>
      </c>
      <c r="F26" s="108">
        <f t="shared" ref="F26:F32" si="1">C26*E26</f>
        <v>1961.7455</v>
      </c>
    </row>
    <row r="27" spans="1:6" s="113" customFormat="1" x14ac:dyDescent="0.25">
      <c r="A27" s="104">
        <f t="shared" si="0"/>
        <v>1.05</v>
      </c>
      <c r="B27" s="117" t="str">
        <f>'SRES Costs'!C62</f>
        <v>Upstand Insulation System: Oxidised Bitumen Type 95/25, Rockwool Hardwood Multi-Fix 150mm</v>
      </c>
      <c r="C27" s="105">
        <f>'Flat Roofing'!J24</f>
        <v>40</v>
      </c>
      <c r="D27" s="111" t="str">
        <f>'Flat Roofing'!J21</f>
        <v>lm</v>
      </c>
      <c r="E27" s="110">
        <f>RateSiteMainUpstandToParapetInsulation</f>
        <v>82.224999999999994</v>
      </c>
      <c r="F27" s="108">
        <f t="shared" si="1"/>
        <v>3289</v>
      </c>
    </row>
    <row r="28" spans="1:6" s="113" customFormat="1" ht="38.25" x14ac:dyDescent="0.25">
      <c r="A28" s="104">
        <f t="shared" si="0"/>
        <v>1.06</v>
      </c>
      <c r="B28" s="117" t="str">
        <f>CONCATENATE("Upstands 750mm girth including: ", boqTextWaterproofingUpstand)</f>
        <v>Upstands 750mm girth including: Impertene Bitumen Primer, Paraflex NT3/Base Sheet VCL (10m x 1m), Paraflex NT3/Base Sheet VCL (10m x 1m), Parflec ARD/S Bianco Reflecta Granular Cap Sheet (8m x 1m)</v>
      </c>
      <c r="C28" s="105">
        <f>'Flat Roofing'!K24</f>
        <v>72</v>
      </c>
      <c r="D28" s="111" t="str">
        <f>'Flat Roofing'!K21</f>
        <v>lm</v>
      </c>
      <c r="E28" s="110">
        <f>RateSiteMainUpstandToWallsWaterproofing</f>
        <v>36.782728124999998</v>
      </c>
      <c r="F28" s="108">
        <f t="shared" si="1"/>
        <v>2648.3564249999999</v>
      </c>
    </row>
    <row r="29" spans="1:6" s="113" customFormat="1" x14ac:dyDescent="0.25">
      <c r="A29" s="104">
        <f t="shared" si="0"/>
        <v>1.07</v>
      </c>
      <c r="B29" s="117" t="str">
        <f>'SRES Costs'!C62</f>
        <v>Upstand Insulation System: Oxidised Bitumen Type 95/25, Rockwool Hardwood Multi-Fix 150mm</v>
      </c>
      <c r="C29" s="105">
        <f>'Flat Roofing'!L24</f>
        <v>72</v>
      </c>
      <c r="D29" s="111" t="str">
        <f>'Flat Roofing'!L21</f>
        <v>lm</v>
      </c>
      <c r="E29" s="110">
        <f>RateSiteMainUpstandToWallsInsulation</f>
        <v>61.668749999999996</v>
      </c>
      <c r="F29" s="108">
        <f t="shared" si="1"/>
        <v>4440.1499999999996</v>
      </c>
    </row>
    <row r="30" spans="1:6" s="113" customFormat="1" ht="25.5" x14ac:dyDescent="0.25">
      <c r="A30" s="104">
        <f t="shared" si="0"/>
        <v>1.08</v>
      </c>
      <c r="B30" s="117" t="str">
        <f>'SRES Costs'!C81</f>
        <v>Drip Edge Detail to Gutter: 2mm Powder Coated Galv Fixed 300mm Downturn Into Gutter, 300mm Fixing Arm</v>
      </c>
      <c r="C30" s="105">
        <f>'Flat Roofing'!M24</f>
        <v>193</v>
      </c>
      <c r="D30" s="111" t="str">
        <f>'Flat Roofing'!M21</f>
        <v>lm</v>
      </c>
      <c r="E30" s="110">
        <f>RateSiteDripEdge</f>
        <v>105.82000000000001</v>
      </c>
      <c r="F30" s="108">
        <f t="shared" si="1"/>
        <v>20423.260000000002</v>
      </c>
    </row>
    <row r="31" spans="1:6" s="113" customFormat="1" ht="25.5" x14ac:dyDescent="0.25">
      <c r="A31" s="104">
        <f t="shared" si="0"/>
        <v>1.0900000000000001</v>
      </c>
      <c r="B31" s="117" t="str">
        <f>boqTextWaterproofingCold</f>
        <v>To supply and install Waterproofing System on Post Tops, including: Enke Universal Primer 2K Gebindest Komp, Enke P/Ester Fleese, Enkopur Silver</v>
      </c>
      <c r="C31" s="105">
        <f>'Flat Roofing'!N24</f>
        <v>122</v>
      </c>
      <c r="D31" s="111" t="str">
        <f>'Flat Roofing'!N21</f>
        <v>Each</v>
      </c>
      <c r="E31" s="110">
        <f>'Flat Roofing'!N7</f>
        <v>103.129</v>
      </c>
      <c r="F31" s="108">
        <f t="shared" si="1"/>
        <v>12581.738000000001</v>
      </c>
    </row>
    <row r="32" spans="1:6" s="113" customFormat="1" ht="51" x14ac:dyDescent="0.25">
      <c r="A32" s="104">
        <f t="shared" si="0"/>
        <v>1.1000000000000001</v>
      </c>
      <c r="B32" s="117" t="str" cm="1">
        <f t="array" ref="B32">'SRES Costs'!C75:C75</f>
        <v>To supply and install Waterproofing System on Post Upstands, including: Impertene Bitumen Primer, Paraflex NT3/Base Sheet VCL (10m x 1m), Oxidised Bitumen Type 95/25, Rockwool Hardwood Multi-Fix 60mm, Paraflex NT3/Base Sheet VCL (10m x 1m), Parflec ARD/S Bianco Reflecta Granular Cap Sheet (8m x 1m)</v>
      </c>
      <c r="C32" s="105">
        <f>'Flat Roofing'!O24</f>
        <v>122</v>
      </c>
      <c r="D32" s="111" t="str">
        <f>'Flat Roofing'!O21</f>
        <v>Each</v>
      </c>
      <c r="E32" s="110">
        <f>'Flat Roofing'!O7</f>
        <v>81.25</v>
      </c>
      <c r="F32" s="108">
        <f t="shared" si="1"/>
        <v>9912.5</v>
      </c>
    </row>
    <row r="33" spans="1:6" s="113" customFormat="1" x14ac:dyDescent="0.25">
      <c r="A33" s="104"/>
      <c r="B33" s="117"/>
      <c r="C33" s="182" t="s">
        <v>42</v>
      </c>
      <c r="D33" s="182"/>
      <c r="E33" s="182"/>
      <c r="F33" s="109">
        <f>SUM(F23:F32)</f>
        <v>866752.65397500002</v>
      </c>
    </row>
    <row r="34" spans="1:6" s="113" customFormat="1" x14ac:dyDescent="0.25">
      <c r="A34" s="104"/>
      <c r="B34" s="117"/>
      <c r="C34" s="182"/>
      <c r="D34" s="182"/>
      <c r="E34" s="182"/>
      <c r="F34" s="109"/>
    </row>
    <row r="35" spans="1:6" s="113" customFormat="1" x14ac:dyDescent="0.25">
      <c r="A35" s="127">
        <v>1</v>
      </c>
      <c r="B35" s="127" t="str">
        <f ca="1">A21</f>
        <v>Flat Roofing</v>
      </c>
      <c r="C35" s="127"/>
      <c r="D35" s="127"/>
      <c r="E35" s="127"/>
      <c r="F35" s="128">
        <f>boqFirstFloor</f>
        <v>866752.65397500002</v>
      </c>
    </row>
    <row r="36" spans="1:6" x14ac:dyDescent="0.25">
      <c r="A36" s="71"/>
      <c r="B36" s="71"/>
      <c r="C36" s="81"/>
      <c r="D36" s="71"/>
      <c r="E36" s="71"/>
      <c r="F36" s="71"/>
    </row>
    <row r="37" spans="1:6" x14ac:dyDescent="0.25">
      <c r="A37" s="172" t="s">
        <v>19</v>
      </c>
      <c r="B37" s="173"/>
      <c r="C37" s="173"/>
      <c r="D37" s="173"/>
      <c r="E37" s="173"/>
      <c r="F37" s="174"/>
    </row>
    <row r="38" spans="1:6" x14ac:dyDescent="0.25">
      <c r="A38" s="127">
        <v>2</v>
      </c>
      <c r="B38" s="127"/>
      <c r="C38" s="172" t="str">
        <f>CONCATENATE(COUNT(C39:C54), " item")</f>
        <v>14 item</v>
      </c>
      <c r="D38" s="174"/>
      <c r="E38" s="127"/>
      <c r="F38" s="127"/>
    </row>
    <row r="39" spans="1:6" x14ac:dyDescent="0.25">
      <c r="A39" s="104">
        <f>A38+0.01</f>
        <v>2.0099999999999998</v>
      </c>
      <c r="B39" s="117" t="s">
        <v>99</v>
      </c>
      <c r="C39" s="117">
        <v>1</v>
      </c>
      <c r="D39" s="117" t="s">
        <v>113</v>
      </c>
      <c r="E39" s="171">
        <v>0</v>
      </c>
      <c r="F39" s="171">
        <f>C39*E39</f>
        <v>0</v>
      </c>
    </row>
    <row r="40" spans="1:6" x14ac:dyDescent="0.25">
      <c r="A40" s="104">
        <f t="shared" ref="A40:A52" si="2">A39+0.01</f>
        <v>2.0199999999999996</v>
      </c>
      <c r="B40" s="117" t="s">
        <v>100</v>
      </c>
      <c r="C40" s="117">
        <v>1</v>
      </c>
      <c r="D40" s="117" t="s">
        <v>113</v>
      </c>
      <c r="E40" s="171">
        <v>0</v>
      </c>
      <c r="F40" s="171">
        <f t="shared" ref="F40:F52" si="3">C40*E40</f>
        <v>0</v>
      </c>
    </row>
    <row r="41" spans="1:6" x14ac:dyDescent="0.25">
      <c r="A41" s="104">
        <f t="shared" si="2"/>
        <v>2.0299999999999994</v>
      </c>
      <c r="B41" s="117" t="s">
        <v>101</v>
      </c>
      <c r="C41" s="117">
        <v>1</v>
      </c>
      <c r="D41" s="117" t="s">
        <v>113</v>
      </c>
      <c r="E41" s="171">
        <v>1000</v>
      </c>
      <c r="F41" s="171">
        <f t="shared" si="3"/>
        <v>1000</v>
      </c>
    </row>
    <row r="42" spans="1:6" x14ac:dyDescent="0.25">
      <c r="A42" s="104">
        <f t="shared" si="2"/>
        <v>2.0399999999999991</v>
      </c>
      <c r="B42" s="117" t="s">
        <v>102</v>
      </c>
      <c r="C42" s="117">
        <v>80</v>
      </c>
      <c r="D42" s="117" t="s">
        <v>114</v>
      </c>
      <c r="E42" s="171">
        <v>275</v>
      </c>
      <c r="F42" s="171">
        <f t="shared" si="3"/>
        <v>22000</v>
      </c>
    </row>
    <row r="43" spans="1:6" x14ac:dyDescent="0.25">
      <c r="A43" s="104">
        <f t="shared" si="2"/>
        <v>2.0499999999999989</v>
      </c>
      <c r="B43" s="117" t="s">
        <v>103</v>
      </c>
      <c r="C43" s="117">
        <v>80</v>
      </c>
      <c r="D43" s="117" t="s">
        <v>114</v>
      </c>
      <c r="E43" s="171">
        <v>225</v>
      </c>
      <c r="F43" s="171">
        <f t="shared" si="3"/>
        <v>18000</v>
      </c>
    </row>
    <row r="44" spans="1:6" x14ac:dyDescent="0.25">
      <c r="A44" s="104">
        <f t="shared" si="2"/>
        <v>2.0599999999999987</v>
      </c>
      <c r="B44" s="117" t="s">
        <v>104</v>
      </c>
      <c r="C44" s="117">
        <v>15</v>
      </c>
      <c r="D44" s="117" t="s">
        <v>114</v>
      </c>
      <c r="E44" s="171">
        <v>4230</v>
      </c>
      <c r="F44" s="171">
        <f t="shared" si="3"/>
        <v>63450</v>
      </c>
    </row>
    <row r="45" spans="1:6" x14ac:dyDescent="0.25">
      <c r="A45" s="104">
        <f t="shared" si="2"/>
        <v>2.0699999999999985</v>
      </c>
      <c r="B45" s="117" t="s">
        <v>105</v>
      </c>
      <c r="C45" s="117">
        <v>1</v>
      </c>
      <c r="D45" s="117" t="s">
        <v>113</v>
      </c>
      <c r="E45" s="171">
        <v>0</v>
      </c>
      <c r="F45" s="171">
        <f t="shared" si="3"/>
        <v>0</v>
      </c>
    </row>
    <row r="46" spans="1:6" x14ac:dyDescent="0.25">
      <c r="A46" s="104">
        <f t="shared" si="2"/>
        <v>2.0799999999999983</v>
      </c>
      <c r="B46" s="117" t="s">
        <v>106</v>
      </c>
      <c r="C46" s="117">
        <v>1</v>
      </c>
      <c r="D46" s="117" t="s">
        <v>113</v>
      </c>
      <c r="E46" s="171">
        <v>0</v>
      </c>
      <c r="F46" s="171">
        <f t="shared" si="3"/>
        <v>0</v>
      </c>
    </row>
    <row r="47" spans="1:6" x14ac:dyDescent="0.25">
      <c r="A47" s="104">
        <f t="shared" si="2"/>
        <v>2.0899999999999981</v>
      </c>
      <c r="B47" s="117" t="s">
        <v>107</v>
      </c>
      <c r="C47" s="117">
        <v>8</v>
      </c>
      <c r="D47" s="117" t="s">
        <v>114</v>
      </c>
      <c r="E47" s="171">
        <v>625</v>
      </c>
      <c r="F47" s="171">
        <f t="shared" si="3"/>
        <v>5000</v>
      </c>
    </row>
    <row r="48" spans="1:6" x14ac:dyDescent="0.25">
      <c r="A48" s="104">
        <f t="shared" si="2"/>
        <v>2.0999999999999979</v>
      </c>
      <c r="B48" s="117" t="s">
        <v>108</v>
      </c>
      <c r="C48" s="117">
        <v>1</v>
      </c>
      <c r="D48" s="117" t="s">
        <v>113</v>
      </c>
      <c r="E48" s="171">
        <v>0</v>
      </c>
      <c r="F48" s="171">
        <f t="shared" si="3"/>
        <v>0</v>
      </c>
    </row>
    <row r="49" spans="1:10" x14ac:dyDescent="0.25">
      <c r="A49" s="104">
        <f t="shared" si="2"/>
        <v>2.1099999999999977</v>
      </c>
      <c r="B49" s="117" t="s">
        <v>109</v>
      </c>
      <c r="C49" s="117">
        <v>1</v>
      </c>
      <c r="D49" s="117" t="s">
        <v>113</v>
      </c>
      <c r="E49" s="171">
        <v>0</v>
      </c>
      <c r="F49" s="171">
        <f t="shared" si="3"/>
        <v>0</v>
      </c>
    </row>
    <row r="50" spans="1:10" x14ac:dyDescent="0.25">
      <c r="A50" s="104">
        <f t="shared" si="2"/>
        <v>2.1199999999999974</v>
      </c>
      <c r="B50" s="117" t="s">
        <v>110</v>
      </c>
      <c r="C50" s="117">
        <v>1</v>
      </c>
      <c r="D50" s="117" t="s">
        <v>113</v>
      </c>
      <c r="E50" s="171">
        <v>0</v>
      </c>
      <c r="F50" s="171">
        <f t="shared" si="3"/>
        <v>0</v>
      </c>
    </row>
    <row r="51" spans="1:10" x14ac:dyDescent="0.25">
      <c r="A51" s="104">
        <f t="shared" si="2"/>
        <v>2.1299999999999972</v>
      </c>
      <c r="B51" s="117" t="s">
        <v>111</v>
      </c>
      <c r="C51" s="117">
        <v>1</v>
      </c>
      <c r="D51" s="117" t="s">
        <v>113</v>
      </c>
      <c r="E51" s="171">
        <v>0</v>
      </c>
      <c r="F51" s="171">
        <f t="shared" si="3"/>
        <v>0</v>
      </c>
    </row>
    <row r="52" spans="1:10" x14ac:dyDescent="0.25">
      <c r="A52" s="104">
        <f t="shared" si="2"/>
        <v>2.139999999999997</v>
      </c>
      <c r="B52" s="117" t="s">
        <v>112</v>
      </c>
      <c r="C52" s="117">
        <v>1</v>
      </c>
      <c r="D52" s="117" t="s">
        <v>113</v>
      </c>
      <c r="E52" s="171">
        <v>0</v>
      </c>
      <c r="F52" s="171">
        <f t="shared" si="3"/>
        <v>0</v>
      </c>
    </row>
    <row r="53" spans="1:10" x14ac:dyDescent="0.25">
      <c r="A53" s="127">
        <v>1</v>
      </c>
      <c r="B53" s="127">
        <f>A39</f>
        <v>2.0099999999999998</v>
      </c>
      <c r="C53" s="127"/>
      <c r="D53" s="127"/>
      <c r="E53" s="127"/>
      <c r="F53" s="128">
        <f>SUM(F39:F52)</f>
        <v>109450</v>
      </c>
    </row>
    <row r="54" spans="1:10" x14ac:dyDescent="0.25">
      <c r="A54" s="170"/>
      <c r="B54" s="71"/>
      <c r="C54" s="81"/>
      <c r="D54" s="71"/>
      <c r="E54" s="71"/>
      <c r="F54" s="71"/>
    </row>
    <row r="55" spans="1:10" x14ac:dyDescent="0.25">
      <c r="A55" s="71"/>
      <c r="B55" s="71"/>
      <c r="C55" s="81"/>
      <c r="D55" s="71"/>
      <c r="E55" s="71"/>
      <c r="F55" s="71"/>
    </row>
    <row r="56" spans="1:10" s="113" customFormat="1" ht="27.75" customHeight="1" x14ac:dyDescent="0.25">
      <c r="A56" s="142"/>
      <c r="B56" s="143"/>
      <c r="C56" s="144"/>
      <c r="D56" s="145"/>
      <c r="E56" s="146" t="s">
        <v>118</v>
      </c>
      <c r="F56" s="147">
        <f>F35</f>
        <v>866752.65397500002</v>
      </c>
    </row>
    <row r="57" spans="1:10" s="113" customFormat="1" ht="27.75" customHeight="1" x14ac:dyDescent="0.25">
      <c r="A57" s="142"/>
      <c r="B57" s="143"/>
      <c r="C57" s="144"/>
      <c r="D57" s="145"/>
      <c r="E57" s="146" t="s">
        <v>19</v>
      </c>
      <c r="F57" s="147">
        <f>F53</f>
        <v>109450</v>
      </c>
    </row>
    <row r="58" spans="1:10" s="113" customFormat="1" ht="27.75" customHeight="1" x14ac:dyDescent="0.25">
      <c r="A58" s="148"/>
      <c r="B58" s="149"/>
      <c r="C58" s="144"/>
      <c r="D58" s="150"/>
      <c r="E58" s="151" t="s">
        <v>44</v>
      </c>
      <c r="F58" s="147">
        <f>F56+F57</f>
        <v>976202.65397500002</v>
      </c>
      <c r="J58" s="125"/>
    </row>
  </sheetData>
  <mergeCells count="15">
    <mergeCell ref="A1:F3"/>
    <mergeCell ref="C20:D20"/>
    <mergeCell ref="C34:E34"/>
    <mergeCell ref="A6:B6"/>
    <mergeCell ref="A7:B7"/>
    <mergeCell ref="A18:B18"/>
    <mergeCell ref="A19:F19"/>
    <mergeCell ref="A21:F21"/>
    <mergeCell ref="C22:D22"/>
    <mergeCell ref="C33:E33"/>
    <mergeCell ref="A37:F37"/>
    <mergeCell ref="C38:D38"/>
    <mergeCell ref="A4:B4"/>
    <mergeCell ref="C4:F5"/>
    <mergeCell ref="A5:B5"/>
  </mergeCells>
  <phoneticPr fontId="11" type="noConversion"/>
  <hyperlinks>
    <hyperlink ref="F14" r:id="rId1" display="Email: dcsroofing01@yahoo.co.uk" xr:uid="{F6BE73FD-EF19-42D8-B4C9-652C656B9615}"/>
  </hyperlinks>
  <printOptions horizontalCentered="1"/>
  <pageMargins left="0.25" right="0.25" top="0.75" bottom="0.75" header="0.3" footer="0.3"/>
  <pageSetup paperSize="9" scale="75" fitToHeight="0" orientation="portrait" r:id="rId2"/>
  <headerFooter>
    <oddFooter>&amp;L&amp;8
&amp;C&amp;8&amp;P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1DC77-E0A3-4530-8488-584EF311A109}">
  <sheetPr codeName="Sheet13">
    <tabColor theme="0" tint="-0.249977111117893"/>
    <pageSetUpPr fitToPage="1"/>
  </sheetPr>
  <dimension ref="A1:O109"/>
  <sheetViews>
    <sheetView workbookViewId="0">
      <selection sqref="A1:F3"/>
    </sheetView>
  </sheetViews>
  <sheetFormatPr defaultColWidth="9.140625" defaultRowHeight="12.75" x14ac:dyDescent="0.25"/>
  <cols>
    <col min="1" max="1" width="5.5703125" style="73" customWidth="1"/>
    <col min="2" max="2" width="74.140625" style="74" customWidth="1"/>
    <col min="3" max="3" width="13.28515625" style="80" customWidth="1"/>
    <col min="4" max="4" width="6.85546875" style="75" customWidth="1"/>
    <col min="5" max="5" width="16.140625" style="76" customWidth="1"/>
    <col min="6" max="6" width="14.5703125" style="77" customWidth="1"/>
    <col min="7" max="7" width="9.140625" style="71"/>
    <col min="8" max="8" width="14.28515625" style="136" customWidth="1"/>
    <col min="9" max="9" width="9.140625" style="71"/>
    <col min="10" max="10" width="12.28515625" style="71" bestFit="1" customWidth="1"/>
    <col min="11" max="220" width="9.140625" style="71"/>
    <col min="221" max="221" width="4.5703125" style="71" customWidth="1"/>
    <col min="222" max="222" width="7" style="71" customWidth="1"/>
    <col min="223" max="223" width="49.85546875" style="71" customWidth="1"/>
    <col min="224" max="224" width="8" style="71" customWidth="1"/>
    <col min="225" max="225" width="9.85546875" style="71" customWidth="1"/>
    <col min="226" max="226" width="8.140625" style="71" bestFit="1" customWidth="1"/>
    <col min="227" max="227" width="10.5703125" style="71" bestFit="1" customWidth="1"/>
    <col min="228" max="476" width="9.140625" style="71"/>
    <col min="477" max="477" width="4.5703125" style="71" customWidth="1"/>
    <col min="478" max="478" width="7" style="71" customWidth="1"/>
    <col min="479" max="479" width="49.85546875" style="71" customWidth="1"/>
    <col min="480" max="480" width="8" style="71" customWidth="1"/>
    <col min="481" max="481" width="9.85546875" style="71" customWidth="1"/>
    <col min="482" max="482" width="8.140625" style="71" bestFit="1" customWidth="1"/>
    <col min="483" max="483" width="10.5703125" style="71" bestFit="1" customWidth="1"/>
    <col min="484" max="732" width="9.140625" style="71"/>
    <col min="733" max="733" width="4.5703125" style="71" customWidth="1"/>
    <col min="734" max="734" width="7" style="71" customWidth="1"/>
    <col min="735" max="735" width="49.85546875" style="71" customWidth="1"/>
    <col min="736" max="736" width="8" style="71" customWidth="1"/>
    <col min="737" max="737" width="9.85546875" style="71" customWidth="1"/>
    <col min="738" max="738" width="8.140625" style="71" bestFit="1" customWidth="1"/>
    <col min="739" max="739" width="10.5703125" style="71" bestFit="1" customWidth="1"/>
    <col min="740" max="988" width="9.140625" style="71"/>
    <col min="989" max="989" width="4.5703125" style="71" customWidth="1"/>
    <col min="990" max="990" width="7" style="71" customWidth="1"/>
    <col min="991" max="991" width="49.85546875" style="71" customWidth="1"/>
    <col min="992" max="992" width="8" style="71" customWidth="1"/>
    <col min="993" max="993" width="9.85546875" style="71" customWidth="1"/>
    <col min="994" max="994" width="8.140625" style="71" bestFit="1" customWidth="1"/>
    <col min="995" max="995" width="10.5703125" style="71" bestFit="1" customWidth="1"/>
    <col min="996" max="1244" width="9.140625" style="71"/>
    <col min="1245" max="1245" width="4.5703125" style="71" customWidth="1"/>
    <col min="1246" max="1246" width="7" style="71" customWidth="1"/>
    <col min="1247" max="1247" width="49.85546875" style="71" customWidth="1"/>
    <col min="1248" max="1248" width="8" style="71" customWidth="1"/>
    <col min="1249" max="1249" width="9.85546875" style="71" customWidth="1"/>
    <col min="1250" max="1250" width="8.140625" style="71" bestFit="1" customWidth="1"/>
    <col min="1251" max="1251" width="10.5703125" style="71" bestFit="1" customWidth="1"/>
    <col min="1252" max="1500" width="9.140625" style="71"/>
    <col min="1501" max="1501" width="4.5703125" style="71" customWidth="1"/>
    <col min="1502" max="1502" width="7" style="71" customWidth="1"/>
    <col min="1503" max="1503" width="49.85546875" style="71" customWidth="1"/>
    <col min="1504" max="1504" width="8" style="71" customWidth="1"/>
    <col min="1505" max="1505" width="9.85546875" style="71" customWidth="1"/>
    <col min="1506" max="1506" width="8.140625" style="71" bestFit="1" customWidth="1"/>
    <col min="1507" max="1507" width="10.5703125" style="71" bestFit="1" customWidth="1"/>
    <col min="1508" max="1756" width="9.140625" style="71"/>
    <col min="1757" max="1757" width="4.5703125" style="71" customWidth="1"/>
    <col min="1758" max="1758" width="7" style="71" customWidth="1"/>
    <col min="1759" max="1759" width="49.85546875" style="71" customWidth="1"/>
    <col min="1760" max="1760" width="8" style="71" customWidth="1"/>
    <col min="1761" max="1761" width="9.85546875" style="71" customWidth="1"/>
    <col min="1762" max="1762" width="8.140625" style="71" bestFit="1" customWidth="1"/>
    <col min="1763" max="1763" width="10.5703125" style="71" bestFit="1" customWidth="1"/>
    <col min="1764" max="2012" width="9.140625" style="71"/>
    <col min="2013" max="2013" width="4.5703125" style="71" customWidth="1"/>
    <col min="2014" max="2014" width="7" style="71" customWidth="1"/>
    <col min="2015" max="2015" width="49.85546875" style="71" customWidth="1"/>
    <col min="2016" max="2016" width="8" style="71" customWidth="1"/>
    <col min="2017" max="2017" width="9.85546875" style="71" customWidth="1"/>
    <col min="2018" max="2018" width="8.140625" style="71" bestFit="1" customWidth="1"/>
    <col min="2019" max="2019" width="10.5703125" style="71" bestFit="1" customWidth="1"/>
    <col min="2020" max="2268" width="9.140625" style="71"/>
    <col min="2269" max="2269" width="4.5703125" style="71" customWidth="1"/>
    <col min="2270" max="2270" width="7" style="71" customWidth="1"/>
    <col min="2271" max="2271" width="49.85546875" style="71" customWidth="1"/>
    <col min="2272" max="2272" width="8" style="71" customWidth="1"/>
    <col min="2273" max="2273" width="9.85546875" style="71" customWidth="1"/>
    <col min="2274" max="2274" width="8.140625" style="71" bestFit="1" customWidth="1"/>
    <col min="2275" max="2275" width="10.5703125" style="71" bestFit="1" customWidth="1"/>
    <col min="2276" max="2524" width="9.140625" style="71"/>
    <col min="2525" max="2525" width="4.5703125" style="71" customWidth="1"/>
    <col min="2526" max="2526" width="7" style="71" customWidth="1"/>
    <col min="2527" max="2527" width="49.85546875" style="71" customWidth="1"/>
    <col min="2528" max="2528" width="8" style="71" customWidth="1"/>
    <col min="2529" max="2529" width="9.85546875" style="71" customWidth="1"/>
    <col min="2530" max="2530" width="8.140625" style="71" bestFit="1" customWidth="1"/>
    <col min="2531" max="2531" width="10.5703125" style="71" bestFit="1" customWidth="1"/>
    <col min="2532" max="2780" width="9.140625" style="71"/>
    <col min="2781" max="2781" width="4.5703125" style="71" customWidth="1"/>
    <col min="2782" max="2782" width="7" style="71" customWidth="1"/>
    <col min="2783" max="2783" width="49.85546875" style="71" customWidth="1"/>
    <col min="2784" max="2784" width="8" style="71" customWidth="1"/>
    <col min="2785" max="2785" width="9.85546875" style="71" customWidth="1"/>
    <col min="2786" max="2786" width="8.140625" style="71" bestFit="1" customWidth="1"/>
    <col min="2787" max="2787" width="10.5703125" style="71" bestFit="1" customWidth="1"/>
    <col min="2788" max="3036" width="9.140625" style="71"/>
    <col min="3037" max="3037" width="4.5703125" style="71" customWidth="1"/>
    <col min="3038" max="3038" width="7" style="71" customWidth="1"/>
    <col min="3039" max="3039" width="49.85546875" style="71" customWidth="1"/>
    <col min="3040" max="3040" width="8" style="71" customWidth="1"/>
    <col min="3041" max="3041" width="9.85546875" style="71" customWidth="1"/>
    <col min="3042" max="3042" width="8.140625" style="71" bestFit="1" customWidth="1"/>
    <col min="3043" max="3043" width="10.5703125" style="71" bestFit="1" customWidth="1"/>
    <col min="3044" max="3292" width="9.140625" style="71"/>
    <col min="3293" max="3293" width="4.5703125" style="71" customWidth="1"/>
    <col min="3294" max="3294" width="7" style="71" customWidth="1"/>
    <col min="3295" max="3295" width="49.85546875" style="71" customWidth="1"/>
    <col min="3296" max="3296" width="8" style="71" customWidth="1"/>
    <col min="3297" max="3297" width="9.85546875" style="71" customWidth="1"/>
    <col min="3298" max="3298" width="8.140625" style="71" bestFit="1" customWidth="1"/>
    <col min="3299" max="3299" width="10.5703125" style="71" bestFit="1" customWidth="1"/>
    <col min="3300" max="3548" width="9.140625" style="71"/>
    <col min="3549" max="3549" width="4.5703125" style="71" customWidth="1"/>
    <col min="3550" max="3550" width="7" style="71" customWidth="1"/>
    <col min="3551" max="3551" width="49.85546875" style="71" customWidth="1"/>
    <col min="3552" max="3552" width="8" style="71" customWidth="1"/>
    <col min="3553" max="3553" width="9.85546875" style="71" customWidth="1"/>
    <col min="3554" max="3554" width="8.140625" style="71" bestFit="1" customWidth="1"/>
    <col min="3555" max="3555" width="10.5703125" style="71" bestFit="1" customWidth="1"/>
    <col min="3556" max="3804" width="9.140625" style="71"/>
    <col min="3805" max="3805" width="4.5703125" style="71" customWidth="1"/>
    <col min="3806" max="3806" width="7" style="71" customWidth="1"/>
    <col min="3807" max="3807" width="49.85546875" style="71" customWidth="1"/>
    <col min="3808" max="3808" width="8" style="71" customWidth="1"/>
    <col min="3809" max="3809" width="9.85546875" style="71" customWidth="1"/>
    <col min="3810" max="3810" width="8.140625" style="71" bestFit="1" customWidth="1"/>
    <col min="3811" max="3811" width="10.5703125" style="71" bestFit="1" customWidth="1"/>
    <col min="3812" max="4060" width="9.140625" style="71"/>
    <col min="4061" max="4061" width="4.5703125" style="71" customWidth="1"/>
    <col min="4062" max="4062" width="7" style="71" customWidth="1"/>
    <col min="4063" max="4063" width="49.85546875" style="71" customWidth="1"/>
    <col min="4064" max="4064" width="8" style="71" customWidth="1"/>
    <col min="4065" max="4065" width="9.85546875" style="71" customWidth="1"/>
    <col min="4066" max="4066" width="8.140625" style="71" bestFit="1" customWidth="1"/>
    <col min="4067" max="4067" width="10.5703125" style="71" bestFit="1" customWidth="1"/>
    <col min="4068" max="4316" width="9.140625" style="71"/>
    <col min="4317" max="4317" width="4.5703125" style="71" customWidth="1"/>
    <col min="4318" max="4318" width="7" style="71" customWidth="1"/>
    <col min="4319" max="4319" width="49.85546875" style="71" customWidth="1"/>
    <col min="4320" max="4320" width="8" style="71" customWidth="1"/>
    <col min="4321" max="4321" width="9.85546875" style="71" customWidth="1"/>
    <col min="4322" max="4322" width="8.140625" style="71" bestFit="1" customWidth="1"/>
    <col min="4323" max="4323" width="10.5703125" style="71" bestFit="1" customWidth="1"/>
    <col min="4324" max="4572" width="9.140625" style="71"/>
    <col min="4573" max="4573" width="4.5703125" style="71" customWidth="1"/>
    <col min="4574" max="4574" width="7" style="71" customWidth="1"/>
    <col min="4575" max="4575" width="49.85546875" style="71" customWidth="1"/>
    <col min="4576" max="4576" width="8" style="71" customWidth="1"/>
    <col min="4577" max="4577" width="9.85546875" style="71" customWidth="1"/>
    <col min="4578" max="4578" width="8.140625" style="71" bestFit="1" customWidth="1"/>
    <col min="4579" max="4579" width="10.5703125" style="71" bestFit="1" customWidth="1"/>
    <col min="4580" max="4828" width="9.140625" style="71"/>
    <col min="4829" max="4829" width="4.5703125" style="71" customWidth="1"/>
    <col min="4830" max="4830" width="7" style="71" customWidth="1"/>
    <col min="4831" max="4831" width="49.85546875" style="71" customWidth="1"/>
    <col min="4832" max="4832" width="8" style="71" customWidth="1"/>
    <col min="4833" max="4833" width="9.85546875" style="71" customWidth="1"/>
    <col min="4834" max="4834" width="8.140625" style="71" bestFit="1" customWidth="1"/>
    <col min="4835" max="4835" width="10.5703125" style="71" bestFit="1" customWidth="1"/>
    <col min="4836" max="5084" width="9.140625" style="71"/>
    <col min="5085" max="5085" width="4.5703125" style="71" customWidth="1"/>
    <col min="5086" max="5086" width="7" style="71" customWidth="1"/>
    <col min="5087" max="5087" width="49.85546875" style="71" customWidth="1"/>
    <col min="5088" max="5088" width="8" style="71" customWidth="1"/>
    <col min="5089" max="5089" width="9.85546875" style="71" customWidth="1"/>
    <col min="5090" max="5090" width="8.140625" style="71" bestFit="1" customWidth="1"/>
    <col min="5091" max="5091" width="10.5703125" style="71" bestFit="1" customWidth="1"/>
    <col min="5092" max="5340" width="9.140625" style="71"/>
    <col min="5341" max="5341" width="4.5703125" style="71" customWidth="1"/>
    <col min="5342" max="5342" width="7" style="71" customWidth="1"/>
    <col min="5343" max="5343" width="49.85546875" style="71" customWidth="1"/>
    <col min="5344" max="5344" width="8" style="71" customWidth="1"/>
    <col min="5345" max="5345" width="9.85546875" style="71" customWidth="1"/>
    <col min="5346" max="5346" width="8.140625" style="71" bestFit="1" customWidth="1"/>
    <col min="5347" max="5347" width="10.5703125" style="71" bestFit="1" customWidth="1"/>
    <col min="5348" max="5596" width="9.140625" style="71"/>
    <col min="5597" max="5597" width="4.5703125" style="71" customWidth="1"/>
    <col min="5598" max="5598" width="7" style="71" customWidth="1"/>
    <col min="5599" max="5599" width="49.85546875" style="71" customWidth="1"/>
    <col min="5600" max="5600" width="8" style="71" customWidth="1"/>
    <col min="5601" max="5601" width="9.85546875" style="71" customWidth="1"/>
    <col min="5602" max="5602" width="8.140625" style="71" bestFit="1" customWidth="1"/>
    <col min="5603" max="5603" width="10.5703125" style="71" bestFit="1" customWidth="1"/>
    <col min="5604" max="5852" width="9.140625" style="71"/>
    <col min="5853" max="5853" width="4.5703125" style="71" customWidth="1"/>
    <col min="5854" max="5854" width="7" style="71" customWidth="1"/>
    <col min="5855" max="5855" width="49.85546875" style="71" customWidth="1"/>
    <col min="5856" max="5856" width="8" style="71" customWidth="1"/>
    <col min="5857" max="5857" width="9.85546875" style="71" customWidth="1"/>
    <col min="5858" max="5858" width="8.140625" style="71" bestFit="1" customWidth="1"/>
    <col min="5859" max="5859" width="10.5703125" style="71" bestFit="1" customWidth="1"/>
    <col min="5860" max="6108" width="9.140625" style="71"/>
    <col min="6109" max="6109" width="4.5703125" style="71" customWidth="1"/>
    <col min="6110" max="6110" width="7" style="71" customWidth="1"/>
    <col min="6111" max="6111" width="49.85546875" style="71" customWidth="1"/>
    <col min="6112" max="6112" width="8" style="71" customWidth="1"/>
    <col min="6113" max="6113" width="9.85546875" style="71" customWidth="1"/>
    <col min="6114" max="6114" width="8.140625" style="71" bestFit="1" customWidth="1"/>
    <col min="6115" max="6115" width="10.5703125" style="71" bestFit="1" customWidth="1"/>
    <col min="6116" max="6364" width="9.140625" style="71"/>
    <col min="6365" max="6365" width="4.5703125" style="71" customWidth="1"/>
    <col min="6366" max="6366" width="7" style="71" customWidth="1"/>
    <col min="6367" max="6367" width="49.85546875" style="71" customWidth="1"/>
    <col min="6368" max="6368" width="8" style="71" customWidth="1"/>
    <col min="6369" max="6369" width="9.85546875" style="71" customWidth="1"/>
    <col min="6370" max="6370" width="8.140625" style="71" bestFit="1" customWidth="1"/>
    <col min="6371" max="6371" width="10.5703125" style="71" bestFit="1" customWidth="1"/>
    <col min="6372" max="6620" width="9.140625" style="71"/>
    <col min="6621" max="6621" width="4.5703125" style="71" customWidth="1"/>
    <col min="6622" max="6622" width="7" style="71" customWidth="1"/>
    <col min="6623" max="6623" width="49.85546875" style="71" customWidth="1"/>
    <col min="6624" max="6624" width="8" style="71" customWidth="1"/>
    <col min="6625" max="6625" width="9.85546875" style="71" customWidth="1"/>
    <col min="6626" max="6626" width="8.140625" style="71" bestFit="1" customWidth="1"/>
    <col min="6627" max="6627" width="10.5703125" style="71" bestFit="1" customWidth="1"/>
    <col min="6628" max="6876" width="9.140625" style="71"/>
    <col min="6877" max="6877" width="4.5703125" style="71" customWidth="1"/>
    <col min="6878" max="6878" width="7" style="71" customWidth="1"/>
    <col min="6879" max="6879" width="49.85546875" style="71" customWidth="1"/>
    <col min="6880" max="6880" width="8" style="71" customWidth="1"/>
    <col min="6881" max="6881" width="9.85546875" style="71" customWidth="1"/>
    <col min="6882" max="6882" width="8.140625" style="71" bestFit="1" customWidth="1"/>
    <col min="6883" max="6883" width="10.5703125" style="71" bestFit="1" customWidth="1"/>
    <col min="6884" max="7132" width="9.140625" style="71"/>
    <col min="7133" max="7133" width="4.5703125" style="71" customWidth="1"/>
    <col min="7134" max="7134" width="7" style="71" customWidth="1"/>
    <col min="7135" max="7135" width="49.85546875" style="71" customWidth="1"/>
    <col min="7136" max="7136" width="8" style="71" customWidth="1"/>
    <col min="7137" max="7137" width="9.85546875" style="71" customWidth="1"/>
    <col min="7138" max="7138" width="8.140625" style="71" bestFit="1" customWidth="1"/>
    <col min="7139" max="7139" width="10.5703125" style="71" bestFit="1" customWidth="1"/>
    <col min="7140" max="7388" width="9.140625" style="71"/>
    <col min="7389" max="7389" width="4.5703125" style="71" customWidth="1"/>
    <col min="7390" max="7390" width="7" style="71" customWidth="1"/>
    <col min="7391" max="7391" width="49.85546875" style="71" customWidth="1"/>
    <col min="7392" max="7392" width="8" style="71" customWidth="1"/>
    <col min="7393" max="7393" width="9.85546875" style="71" customWidth="1"/>
    <col min="7394" max="7394" width="8.140625" style="71" bestFit="1" customWidth="1"/>
    <col min="7395" max="7395" width="10.5703125" style="71" bestFit="1" customWidth="1"/>
    <col min="7396" max="7644" width="9.140625" style="71"/>
    <col min="7645" max="7645" width="4.5703125" style="71" customWidth="1"/>
    <col min="7646" max="7646" width="7" style="71" customWidth="1"/>
    <col min="7647" max="7647" width="49.85546875" style="71" customWidth="1"/>
    <col min="7648" max="7648" width="8" style="71" customWidth="1"/>
    <col min="7649" max="7649" width="9.85546875" style="71" customWidth="1"/>
    <col min="7650" max="7650" width="8.140625" style="71" bestFit="1" customWidth="1"/>
    <col min="7651" max="7651" width="10.5703125" style="71" bestFit="1" customWidth="1"/>
    <col min="7652" max="7900" width="9.140625" style="71"/>
    <col min="7901" max="7901" width="4.5703125" style="71" customWidth="1"/>
    <col min="7902" max="7902" width="7" style="71" customWidth="1"/>
    <col min="7903" max="7903" width="49.85546875" style="71" customWidth="1"/>
    <col min="7904" max="7904" width="8" style="71" customWidth="1"/>
    <col min="7905" max="7905" width="9.85546875" style="71" customWidth="1"/>
    <col min="7906" max="7906" width="8.140625" style="71" bestFit="1" customWidth="1"/>
    <col min="7907" max="7907" width="10.5703125" style="71" bestFit="1" customWidth="1"/>
    <col min="7908" max="8156" width="9.140625" style="71"/>
    <col min="8157" max="8157" width="4.5703125" style="71" customWidth="1"/>
    <col min="8158" max="8158" width="7" style="71" customWidth="1"/>
    <col min="8159" max="8159" width="49.85546875" style="71" customWidth="1"/>
    <col min="8160" max="8160" width="8" style="71" customWidth="1"/>
    <col min="8161" max="8161" width="9.85546875" style="71" customWidth="1"/>
    <col min="8162" max="8162" width="8.140625" style="71" bestFit="1" customWidth="1"/>
    <col min="8163" max="8163" width="10.5703125" style="71" bestFit="1" customWidth="1"/>
    <col min="8164" max="8412" width="9.140625" style="71"/>
    <col min="8413" max="8413" width="4.5703125" style="71" customWidth="1"/>
    <col min="8414" max="8414" width="7" style="71" customWidth="1"/>
    <col min="8415" max="8415" width="49.85546875" style="71" customWidth="1"/>
    <col min="8416" max="8416" width="8" style="71" customWidth="1"/>
    <col min="8417" max="8417" width="9.85546875" style="71" customWidth="1"/>
    <col min="8418" max="8418" width="8.140625" style="71" bestFit="1" customWidth="1"/>
    <col min="8419" max="8419" width="10.5703125" style="71" bestFit="1" customWidth="1"/>
    <col min="8420" max="8668" width="9.140625" style="71"/>
    <col min="8669" max="8669" width="4.5703125" style="71" customWidth="1"/>
    <col min="8670" max="8670" width="7" style="71" customWidth="1"/>
    <col min="8671" max="8671" width="49.85546875" style="71" customWidth="1"/>
    <col min="8672" max="8672" width="8" style="71" customWidth="1"/>
    <col min="8673" max="8673" width="9.85546875" style="71" customWidth="1"/>
    <col min="8674" max="8674" width="8.140625" style="71" bestFit="1" customWidth="1"/>
    <col min="8675" max="8675" width="10.5703125" style="71" bestFit="1" customWidth="1"/>
    <col min="8676" max="8924" width="9.140625" style="71"/>
    <col min="8925" max="8925" width="4.5703125" style="71" customWidth="1"/>
    <col min="8926" max="8926" width="7" style="71" customWidth="1"/>
    <col min="8927" max="8927" width="49.85546875" style="71" customWidth="1"/>
    <col min="8928" max="8928" width="8" style="71" customWidth="1"/>
    <col min="8929" max="8929" width="9.85546875" style="71" customWidth="1"/>
    <col min="8930" max="8930" width="8.140625" style="71" bestFit="1" customWidth="1"/>
    <col min="8931" max="8931" width="10.5703125" style="71" bestFit="1" customWidth="1"/>
    <col min="8932" max="9180" width="9.140625" style="71"/>
    <col min="9181" max="9181" width="4.5703125" style="71" customWidth="1"/>
    <col min="9182" max="9182" width="7" style="71" customWidth="1"/>
    <col min="9183" max="9183" width="49.85546875" style="71" customWidth="1"/>
    <col min="9184" max="9184" width="8" style="71" customWidth="1"/>
    <col min="9185" max="9185" width="9.85546875" style="71" customWidth="1"/>
    <col min="9186" max="9186" width="8.140625" style="71" bestFit="1" customWidth="1"/>
    <col min="9187" max="9187" width="10.5703125" style="71" bestFit="1" customWidth="1"/>
    <col min="9188" max="9436" width="9.140625" style="71"/>
    <col min="9437" max="9437" width="4.5703125" style="71" customWidth="1"/>
    <col min="9438" max="9438" width="7" style="71" customWidth="1"/>
    <col min="9439" max="9439" width="49.85546875" style="71" customWidth="1"/>
    <col min="9440" max="9440" width="8" style="71" customWidth="1"/>
    <col min="9441" max="9441" width="9.85546875" style="71" customWidth="1"/>
    <col min="9442" max="9442" width="8.140625" style="71" bestFit="1" customWidth="1"/>
    <col min="9443" max="9443" width="10.5703125" style="71" bestFit="1" customWidth="1"/>
    <col min="9444" max="9692" width="9.140625" style="71"/>
    <col min="9693" max="9693" width="4.5703125" style="71" customWidth="1"/>
    <col min="9694" max="9694" width="7" style="71" customWidth="1"/>
    <col min="9695" max="9695" width="49.85546875" style="71" customWidth="1"/>
    <col min="9696" max="9696" width="8" style="71" customWidth="1"/>
    <col min="9697" max="9697" width="9.85546875" style="71" customWidth="1"/>
    <col min="9698" max="9698" width="8.140625" style="71" bestFit="1" customWidth="1"/>
    <col min="9699" max="9699" width="10.5703125" style="71" bestFit="1" customWidth="1"/>
    <col min="9700" max="9948" width="9.140625" style="71"/>
    <col min="9949" max="9949" width="4.5703125" style="71" customWidth="1"/>
    <col min="9950" max="9950" width="7" style="71" customWidth="1"/>
    <col min="9951" max="9951" width="49.85546875" style="71" customWidth="1"/>
    <col min="9952" max="9952" width="8" style="71" customWidth="1"/>
    <col min="9953" max="9953" width="9.85546875" style="71" customWidth="1"/>
    <col min="9954" max="9954" width="8.140625" style="71" bestFit="1" customWidth="1"/>
    <col min="9955" max="9955" width="10.5703125" style="71" bestFit="1" customWidth="1"/>
    <col min="9956" max="10204" width="9.140625" style="71"/>
    <col min="10205" max="10205" width="4.5703125" style="71" customWidth="1"/>
    <col min="10206" max="10206" width="7" style="71" customWidth="1"/>
    <col min="10207" max="10207" width="49.85546875" style="71" customWidth="1"/>
    <col min="10208" max="10208" width="8" style="71" customWidth="1"/>
    <col min="10209" max="10209" width="9.85546875" style="71" customWidth="1"/>
    <col min="10210" max="10210" width="8.140625" style="71" bestFit="1" customWidth="1"/>
    <col min="10211" max="10211" width="10.5703125" style="71" bestFit="1" customWidth="1"/>
    <col min="10212" max="10460" width="9.140625" style="71"/>
    <col min="10461" max="10461" width="4.5703125" style="71" customWidth="1"/>
    <col min="10462" max="10462" width="7" style="71" customWidth="1"/>
    <col min="10463" max="10463" width="49.85546875" style="71" customWidth="1"/>
    <col min="10464" max="10464" width="8" style="71" customWidth="1"/>
    <col min="10465" max="10465" width="9.85546875" style="71" customWidth="1"/>
    <col min="10466" max="10466" width="8.140625" style="71" bestFit="1" customWidth="1"/>
    <col min="10467" max="10467" width="10.5703125" style="71" bestFit="1" customWidth="1"/>
    <col min="10468" max="10716" width="9.140625" style="71"/>
    <col min="10717" max="10717" width="4.5703125" style="71" customWidth="1"/>
    <col min="10718" max="10718" width="7" style="71" customWidth="1"/>
    <col min="10719" max="10719" width="49.85546875" style="71" customWidth="1"/>
    <col min="10720" max="10720" width="8" style="71" customWidth="1"/>
    <col min="10721" max="10721" width="9.85546875" style="71" customWidth="1"/>
    <col min="10722" max="10722" width="8.140625" style="71" bestFit="1" customWidth="1"/>
    <col min="10723" max="10723" width="10.5703125" style="71" bestFit="1" customWidth="1"/>
    <col min="10724" max="10972" width="9.140625" style="71"/>
    <col min="10973" max="10973" width="4.5703125" style="71" customWidth="1"/>
    <col min="10974" max="10974" width="7" style="71" customWidth="1"/>
    <col min="10975" max="10975" width="49.85546875" style="71" customWidth="1"/>
    <col min="10976" max="10976" width="8" style="71" customWidth="1"/>
    <col min="10977" max="10977" width="9.85546875" style="71" customWidth="1"/>
    <col min="10978" max="10978" width="8.140625" style="71" bestFit="1" customWidth="1"/>
    <col min="10979" max="10979" width="10.5703125" style="71" bestFit="1" customWidth="1"/>
    <col min="10980" max="11228" width="9.140625" style="71"/>
    <col min="11229" max="11229" width="4.5703125" style="71" customWidth="1"/>
    <col min="11230" max="11230" width="7" style="71" customWidth="1"/>
    <col min="11231" max="11231" width="49.85546875" style="71" customWidth="1"/>
    <col min="11232" max="11232" width="8" style="71" customWidth="1"/>
    <col min="11233" max="11233" width="9.85546875" style="71" customWidth="1"/>
    <col min="11234" max="11234" width="8.140625" style="71" bestFit="1" customWidth="1"/>
    <col min="11235" max="11235" width="10.5703125" style="71" bestFit="1" customWidth="1"/>
    <col min="11236" max="11484" width="9.140625" style="71"/>
    <col min="11485" max="11485" width="4.5703125" style="71" customWidth="1"/>
    <col min="11486" max="11486" width="7" style="71" customWidth="1"/>
    <col min="11487" max="11487" width="49.85546875" style="71" customWidth="1"/>
    <col min="11488" max="11488" width="8" style="71" customWidth="1"/>
    <col min="11489" max="11489" width="9.85546875" style="71" customWidth="1"/>
    <col min="11490" max="11490" width="8.140625" style="71" bestFit="1" customWidth="1"/>
    <col min="11491" max="11491" width="10.5703125" style="71" bestFit="1" customWidth="1"/>
    <col min="11492" max="11740" width="9.140625" style="71"/>
    <col min="11741" max="11741" width="4.5703125" style="71" customWidth="1"/>
    <col min="11742" max="11742" width="7" style="71" customWidth="1"/>
    <col min="11743" max="11743" width="49.85546875" style="71" customWidth="1"/>
    <col min="11744" max="11744" width="8" style="71" customWidth="1"/>
    <col min="11745" max="11745" width="9.85546875" style="71" customWidth="1"/>
    <col min="11746" max="11746" width="8.140625" style="71" bestFit="1" customWidth="1"/>
    <col min="11747" max="11747" width="10.5703125" style="71" bestFit="1" customWidth="1"/>
    <col min="11748" max="11996" width="9.140625" style="71"/>
    <col min="11997" max="11997" width="4.5703125" style="71" customWidth="1"/>
    <col min="11998" max="11998" width="7" style="71" customWidth="1"/>
    <col min="11999" max="11999" width="49.85546875" style="71" customWidth="1"/>
    <col min="12000" max="12000" width="8" style="71" customWidth="1"/>
    <col min="12001" max="12001" width="9.85546875" style="71" customWidth="1"/>
    <col min="12002" max="12002" width="8.140625" style="71" bestFit="1" customWidth="1"/>
    <col min="12003" max="12003" width="10.5703125" style="71" bestFit="1" customWidth="1"/>
    <col min="12004" max="12252" width="9.140625" style="71"/>
    <col min="12253" max="12253" width="4.5703125" style="71" customWidth="1"/>
    <col min="12254" max="12254" width="7" style="71" customWidth="1"/>
    <col min="12255" max="12255" width="49.85546875" style="71" customWidth="1"/>
    <col min="12256" max="12256" width="8" style="71" customWidth="1"/>
    <col min="12257" max="12257" width="9.85546875" style="71" customWidth="1"/>
    <col min="12258" max="12258" width="8.140625" style="71" bestFit="1" customWidth="1"/>
    <col min="12259" max="12259" width="10.5703125" style="71" bestFit="1" customWidth="1"/>
    <col min="12260" max="12508" width="9.140625" style="71"/>
    <col min="12509" max="12509" width="4.5703125" style="71" customWidth="1"/>
    <col min="12510" max="12510" width="7" style="71" customWidth="1"/>
    <col min="12511" max="12511" width="49.85546875" style="71" customWidth="1"/>
    <col min="12512" max="12512" width="8" style="71" customWidth="1"/>
    <col min="12513" max="12513" width="9.85546875" style="71" customWidth="1"/>
    <col min="12514" max="12514" width="8.140625" style="71" bestFit="1" customWidth="1"/>
    <col min="12515" max="12515" width="10.5703125" style="71" bestFit="1" customWidth="1"/>
    <col min="12516" max="12764" width="9.140625" style="71"/>
    <col min="12765" max="12765" width="4.5703125" style="71" customWidth="1"/>
    <col min="12766" max="12766" width="7" style="71" customWidth="1"/>
    <col min="12767" max="12767" width="49.85546875" style="71" customWidth="1"/>
    <col min="12768" max="12768" width="8" style="71" customWidth="1"/>
    <col min="12769" max="12769" width="9.85546875" style="71" customWidth="1"/>
    <col min="12770" max="12770" width="8.140625" style="71" bestFit="1" customWidth="1"/>
    <col min="12771" max="12771" width="10.5703125" style="71" bestFit="1" customWidth="1"/>
    <col min="12772" max="13020" width="9.140625" style="71"/>
    <col min="13021" max="13021" width="4.5703125" style="71" customWidth="1"/>
    <col min="13022" max="13022" width="7" style="71" customWidth="1"/>
    <col min="13023" max="13023" width="49.85546875" style="71" customWidth="1"/>
    <col min="13024" max="13024" width="8" style="71" customWidth="1"/>
    <col min="13025" max="13025" width="9.85546875" style="71" customWidth="1"/>
    <col min="13026" max="13026" width="8.140625" style="71" bestFit="1" customWidth="1"/>
    <col min="13027" max="13027" width="10.5703125" style="71" bestFit="1" customWidth="1"/>
    <col min="13028" max="13276" width="9.140625" style="71"/>
    <col min="13277" max="13277" width="4.5703125" style="71" customWidth="1"/>
    <col min="13278" max="13278" width="7" style="71" customWidth="1"/>
    <col min="13279" max="13279" width="49.85546875" style="71" customWidth="1"/>
    <col min="13280" max="13280" width="8" style="71" customWidth="1"/>
    <col min="13281" max="13281" width="9.85546875" style="71" customWidth="1"/>
    <col min="13282" max="13282" width="8.140625" style="71" bestFit="1" customWidth="1"/>
    <col min="13283" max="13283" width="10.5703125" style="71" bestFit="1" customWidth="1"/>
    <col min="13284" max="13532" width="9.140625" style="71"/>
    <col min="13533" max="13533" width="4.5703125" style="71" customWidth="1"/>
    <col min="13534" max="13534" width="7" style="71" customWidth="1"/>
    <col min="13535" max="13535" width="49.85546875" style="71" customWidth="1"/>
    <col min="13536" max="13536" width="8" style="71" customWidth="1"/>
    <col min="13537" max="13537" width="9.85546875" style="71" customWidth="1"/>
    <col min="13538" max="13538" width="8.140625" style="71" bestFit="1" customWidth="1"/>
    <col min="13539" max="13539" width="10.5703125" style="71" bestFit="1" customWidth="1"/>
    <col min="13540" max="13788" width="9.140625" style="71"/>
    <col min="13789" max="13789" width="4.5703125" style="71" customWidth="1"/>
    <col min="13790" max="13790" width="7" style="71" customWidth="1"/>
    <col min="13791" max="13791" width="49.85546875" style="71" customWidth="1"/>
    <col min="13792" max="13792" width="8" style="71" customWidth="1"/>
    <col min="13793" max="13793" width="9.85546875" style="71" customWidth="1"/>
    <col min="13794" max="13794" width="8.140625" style="71" bestFit="1" customWidth="1"/>
    <col min="13795" max="13795" width="10.5703125" style="71" bestFit="1" customWidth="1"/>
    <col min="13796" max="14044" width="9.140625" style="71"/>
    <col min="14045" max="14045" width="4.5703125" style="71" customWidth="1"/>
    <col min="14046" max="14046" width="7" style="71" customWidth="1"/>
    <col min="14047" max="14047" width="49.85546875" style="71" customWidth="1"/>
    <col min="14048" max="14048" width="8" style="71" customWidth="1"/>
    <col min="14049" max="14049" width="9.85546875" style="71" customWidth="1"/>
    <col min="14050" max="14050" width="8.140625" style="71" bestFit="1" customWidth="1"/>
    <col min="14051" max="14051" width="10.5703125" style="71" bestFit="1" customWidth="1"/>
    <col min="14052" max="14300" width="9.140625" style="71"/>
    <col min="14301" max="14301" width="4.5703125" style="71" customWidth="1"/>
    <col min="14302" max="14302" width="7" style="71" customWidth="1"/>
    <col min="14303" max="14303" width="49.85546875" style="71" customWidth="1"/>
    <col min="14304" max="14304" width="8" style="71" customWidth="1"/>
    <col min="14305" max="14305" width="9.85546875" style="71" customWidth="1"/>
    <col min="14306" max="14306" width="8.140625" style="71" bestFit="1" customWidth="1"/>
    <col min="14307" max="14307" width="10.5703125" style="71" bestFit="1" customWidth="1"/>
    <col min="14308" max="14556" width="9.140625" style="71"/>
    <col min="14557" max="14557" width="4.5703125" style="71" customWidth="1"/>
    <col min="14558" max="14558" width="7" style="71" customWidth="1"/>
    <col min="14559" max="14559" width="49.85546875" style="71" customWidth="1"/>
    <col min="14560" max="14560" width="8" style="71" customWidth="1"/>
    <col min="14561" max="14561" width="9.85546875" style="71" customWidth="1"/>
    <col min="14562" max="14562" width="8.140625" style="71" bestFit="1" customWidth="1"/>
    <col min="14563" max="14563" width="10.5703125" style="71" bestFit="1" customWidth="1"/>
    <col min="14564" max="14812" width="9.140625" style="71"/>
    <col min="14813" max="14813" width="4.5703125" style="71" customWidth="1"/>
    <col min="14814" max="14814" width="7" style="71" customWidth="1"/>
    <col min="14815" max="14815" width="49.85546875" style="71" customWidth="1"/>
    <col min="14816" max="14816" width="8" style="71" customWidth="1"/>
    <col min="14817" max="14817" width="9.85546875" style="71" customWidth="1"/>
    <col min="14818" max="14818" width="8.140625" style="71" bestFit="1" customWidth="1"/>
    <col min="14819" max="14819" width="10.5703125" style="71" bestFit="1" customWidth="1"/>
    <col min="14820" max="15068" width="9.140625" style="71"/>
    <col min="15069" max="15069" width="4.5703125" style="71" customWidth="1"/>
    <col min="15070" max="15070" width="7" style="71" customWidth="1"/>
    <col min="15071" max="15071" width="49.85546875" style="71" customWidth="1"/>
    <col min="15072" max="15072" width="8" style="71" customWidth="1"/>
    <col min="15073" max="15073" width="9.85546875" style="71" customWidth="1"/>
    <col min="15074" max="15074" width="8.140625" style="71" bestFit="1" customWidth="1"/>
    <col min="15075" max="15075" width="10.5703125" style="71" bestFit="1" customWidth="1"/>
    <col min="15076" max="15324" width="9.140625" style="71"/>
    <col min="15325" max="15325" width="4.5703125" style="71" customWidth="1"/>
    <col min="15326" max="15326" width="7" style="71" customWidth="1"/>
    <col min="15327" max="15327" width="49.85546875" style="71" customWidth="1"/>
    <col min="15328" max="15328" width="8" style="71" customWidth="1"/>
    <col min="15329" max="15329" width="9.85546875" style="71" customWidth="1"/>
    <col min="15330" max="15330" width="8.140625" style="71" bestFit="1" customWidth="1"/>
    <col min="15331" max="15331" width="10.5703125" style="71" bestFit="1" customWidth="1"/>
    <col min="15332" max="15580" width="9.140625" style="71"/>
    <col min="15581" max="15581" width="4.5703125" style="71" customWidth="1"/>
    <col min="15582" max="15582" width="7" style="71" customWidth="1"/>
    <col min="15583" max="15583" width="49.85546875" style="71" customWidth="1"/>
    <col min="15584" max="15584" width="8" style="71" customWidth="1"/>
    <col min="15585" max="15585" width="9.85546875" style="71" customWidth="1"/>
    <col min="15586" max="15586" width="8.140625" style="71" bestFit="1" customWidth="1"/>
    <col min="15587" max="15587" width="10.5703125" style="71" bestFit="1" customWidth="1"/>
    <col min="15588" max="15836" width="9.140625" style="71"/>
    <col min="15837" max="15837" width="4.5703125" style="71" customWidth="1"/>
    <col min="15838" max="15838" width="7" style="71" customWidth="1"/>
    <col min="15839" max="15839" width="49.85546875" style="71" customWidth="1"/>
    <col min="15840" max="15840" width="8" style="71" customWidth="1"/>
    <col min="15841" max="15841" width="9.85546875" style="71" customWidth="1"/>
    <col min="15842" max="15842" width="8.140625" style="71" bestFit="1" customWidth="1"/>
    <col min="15843" max="15843" width="10.5703125" style="71" bestFit="1" customWidth="1"/>
    <col min="15844" max="16092" width="9.140625" style="71"/>
    <col min="16093" max="16093" width="4.5703125" style="71" customWidth="1"/>
    <col min="16094" max="16094" width="7" style="71" customWidth="1"/>
    <col min="16095" max="16095" width="49.85546875" style="71" customWidth="1"/>
    <col min="16096" max="16096" width="8" style="71" customWidth="1"/>
    <col min="16097" max="16097" width="9.85546875" style="71" customWidth="1"/>
    <col min="16098" max="16098" width="8.140625" style="71" bestFit="1" customWidth="1"/>
    <col min="16099" max="16099" width="10.5703125" style="71" bestFit="1" customWidth="1"/>
    <col min="16100" max="16384" width="9.140625" style="71"/>
  </cols>
  <sheetData>
    <row r="1" spans="1:15" s="70" customFormat="1" ht="16.5" customHeight="1" x14ac:dyDescent="0.25">
      <c r="A1" s="180" t="s">
        <v>32</v>
      </c>
      <c r="B1" s="180"/>
      <c r="C1" s="180"/>
      <c r="D1" s="180"/>
      <c r="E1" s="180"/>
      <c r="F1" s="180"/>
      <c r="G1" s="152"/>
      <c r="H1" s="135"/>
      <c r="I1" s="152"/>
      <c r="J1" s="152"/>
      <c r="K1" s="152"/>
      <c r="L1" s="152"/>
      <c r="M1" s="152"/>
      <c r="N1" s="152"/>
      <c r="O1" s="152"/>
    </row>
    <row r="2" spans="1:15" ht="16.5" customHeight="1" x14ac:dyDescent="0.25">
      <c r="A2" s="180"/>
      <c r="B2" s="180"/>
      <c r="C2" s="180"/>
      <c r="D2" s="180"/>
      <c r="E2" s="180"/>
      <c r="F2" s="180"/>
      <c r="G2" s="75"/>
      <c r="H2" s="135"/>
      <c r="J2" s="75"/>
      <c r="K2" s="75"/>
      <c r="L2" s="75"/>
      <c r="M2" s="75"/>
      <c r="N2" s="75"/>
      <c r="O2" s="75"/>
    </row>
    <row r="3" spans="1:15" ht="16.5" customHeight="1" x14ac:dyDescent="0.25">
      <c r="A3" s="180"/>
      <c r="B3" s="180"/>
      <c r="C3" s="180"/>
      <c r="D3" s="180"/>
      <c r="E3" s="180"/>
      <c r="F3" s="180"/>
      <c r="G3" s="75"/>
      <c r="H3" s="135"/>
      <c r="J3" s="75"/>
      <c r="K3" s="75"/>
      <c r="L3" s="75"/>
      <c r="M3" s="75"/>
      <c r="N3" s="75"/>
      <c r="O3" s="75"/>
    </row>
    <row r="4" spans="1:15" ht="16.5" x14ac:dyDescent="0.25">
      <c r="A4" s="175" t="s">
        <v>68</v>
      </c>
      <c r="B4" s="176"/>
      <c r="C4" s="177"/>
      <c r="D4" s="178"/>
      <c r="E4" s="178"/>
      <c r="F4" s="178"/>
      <c r="G4" s="75"/>
      <c r="H4" s="135"/>
      <c r="J4" s="75"/>
      <c r="K4" s="75"/>
      <c r="L4" s="75"/>
      <c r="M4" s="75"/>
      <c r="N4" s="75"/>
      <c r="O4" s="75"/>
    </row>
    <row r="5" spans="1:15" ht="16.5" x14ac:dyDescent="0.25">
      <c r="A5" s="179" t="s">
        <v>69</v>
      </c>
      <c r="B5" s="176"/>
      <c r="C5" s="178"/>
      <c r="D5" s="178"/>
      <c r="E5" s="178"/>
      <c r="F5" s="178"/>
      <c r="G5" s="75"/>
      <c r="H5" s="135"/>
      <c r="J5" s="75"/>
      <c r="K5" s="75"/>
      <c r="L5" s="75"/>
      <c r="M5" s="75"/>
      <c r="N5" s="75"/>
      <c r="O5" s="75"/>
    </row>
    <row r="6" spans="1:15" ht="13.5" x14ac:dyDescent="0.25">
      <c r="A6" s="175"/>
      <c r="B6" s="189"/>
      <c r="C6" s="178"/>
      <c r="D6" s="178"/>
      <c r="E6" s="178"/>
      <c r="F6" s="178"/>
      <c r="G6" s="75"/>
      <c r="H6" s="135"/>
      <c r="I6" s="75"/>
      <c r="J6" s="75"/>
      <c r="K6" s="75"/>
      <c r="L6" s="75"/>
      <c r="M6" s="75"/>
      <c r="N6" s="75"/>
      <c r="O6" s="75"/>
    </row>
    <row r="7" spans="1:15" x14ac:dyDescent="0.25">
      <c r="C7" s="178"/>
      <c r="D7" s="178"/>
      <c r="E7" s="178"/>
      <c r="F7" s="178"/>
    </row>
    <row r="8" spans="1:15" ht="16.5" x14ac:dyDescent="0.3">
      <c r="A8" s="72"/>
      <c r="B8" s="72"/>
      <c r="C8" s="79"/>
      <c r="D8" s="72"/>
      <c r="E8" s="72"/>
      <c r="F8" s="72"/>
    </row>
    <row r="9" spans="1:15" ht="12.75" customHeight="1" x14ac:dyDescent="0.25">
      <c r="A9" s="183"/>
      <c r="B9" s="183"/>
      <c r="C9" s="129"/>
      <c r="D9" s="130"/>
      <c r="E9" s="130"/>
      <c r="F9" s="130"/>
    </row>
    <row r="10" spans="1:15" ht="12.75" customHeight="1" x14ac:dyDescent="0.25">
      <c r="A10" s="183"/>
      <c r="B10" s="183"/>
      <c r="C10" s="130"/>
      <c r="D10" s="130"/>
      <c r="E10" s="130"/>
      <c r="F10" s="130"/>
      <c r="H10" s="137"/>
    </row>
    <row r="11" spans="1:15" ht="12.75" customHeight="1" x14ac:dyDescent="0.25">
      <c r="A11" s="183"/>
      <c r="B11" s="183"/>
      <c r="C11" s="130"/>
      <c r="D11" s="130"/>
      <c r="E11" s="130"/>
      <c r="F11" s="130"/>
      <c r="H11" s="137"/>
    </row>
    <row r="12" spans="1:15" ht="16.5" x14ac:dyDescent="0.3">
      <c r="A12" s="184"/>
      <c r="B12" s="185"/>
      <c r="C12" s="130"/>
      <c r="D12" s="130"/>
      <c r="E12" s="130"/>
      <c r="F12" s="130"/>
      <c r="H12" s="137"/>
    </row>
    <row r="13" spans="1:15" s="113" customFormat="1" ht="15" x14ac:dyDescent="0.25">
      <c r="A13" s="186" t="s">
        <v>65</v>
      </c>
      <c r="B13" s="187"/>
      <c r="C13" s="187"/>
      <c r="D13" s="187"/>
      <c r="E13" s="187"/>
      <c r="F13" s="188"/>
      <c r="H13" s="137"/>
    </row>
    <row r="14" spans="1:15" s="113" customFormat="1" x14ac:dyDescent="0.25">
      <c r="A14" s="104" t="s">
        <v>33</v>
      </c>
      <c r="B14" s="114" t="s">
        <v>17</v>
      </c>
      <c r="C14" s="181" t="s">
        <v>34</v>
      </c>
      <c r="D14" s="181"/>
      <c r="E14" s="115" t="s">
        <v>35</v>
      </c>
      <c r="F14" s="116" t="s">
        <v>36</v>
      </c>
      <c r="H14" s="137"/>
    </row>
    <row r="15" spans="1:15" s="113" customFormat="1" x14ac:dyDescent="0.25">
      <c r="A15" s="172" t="e">
        <f>#REF!</f>
        <v>#REF!</v>
      </c>
      <c r="B15" s="173"/>
      <c r="C15" s="173"/>
      <c r="D15" s="173"/>
      <c r="E15" s="173"/>
      <c r="F15" s="174"/>
      <c r="H15" s="137"/>
    </row>
    <row r="16" spans="1:15" s="113" customFormat="1" x14ac:dyDescent="0.25">
      <c r="A16" s="127">
        <v>1</v>
      </c>
      <c r="B16" s="127"/>
      <c r="C16" s="127" t="str">
        <f>_xlfn.CONCAT(COUNT(C17:C21), " Item")</f>
        <v>0 Item</v>
      </c>
      <c r="D16" s="127"/>
      <c r="E16" s="127"/>
      <c r="F16" s="127"/>
      <c r="H16" s="137"/>
    </row>
    <row r="17" spans="1:8" s="113" customFormat="1" x14ac:dyDescent="0.25">
      <c r="A17" s="104">
        <f>A16+0.01</f>
        <v>1.01</v>
      </c>
      <c r="B17" s="117" t="s">
        <v>64</v>
      </c>
      <c r="C17" s="105" t="e">
        <f>#REF!</f>
        <v>#REF!</v>
      </c>
      <c r="D17" s="111" t="str">
        <f>'Flat Roofing'!E21</f>
        <v>m²</v>
      </c>
      <c r="E17" s="107">
        <f>RateSiteMainAreaWaterproofing</f>
        <v>49.043637499999996</v>
      </c>
      <c r="F17" s="108" t="e">
        <f>C17*E17</f>
        <v>#REF!</v>
      </c>
      <c r="H17" s="137"/>
    </row>
    <row r="18" spans="1:8" s="113" customFormat="1" x14ac:dyDescent="0.25">
      <c r="A18" s="104">
        <f t="shared" ref="A18:A21" si="0">A17+0.01</f>
        <v>1.02</v>
      </c>
      <c r="B18" s="117" t="str">
        <f>_xlfn.CONCAT("Insulation System: ", 'SRES Costs'!C30)</f>
        <v>Insulation System: Paratherm T - Tapered</v>
      </c>
      <c r="C18" s="105" t="e">
        <f>#REF!</f>
        <v>#REF!</v>
      </c>
      <c r="D18" s="111" t="str">
        <f>'Flat Roofing'!F21</f>
        <v>m²</v>
      </c>
      <c r="E18" s="107">
        <f>RateSiteMainAreaInsulation</f>
        <v>154.01100000000002</v>
      </c>
      <c r="F18" s="108" t="e">
        <f>C18*E18</f>
        <v>#REF!</v>
      </c>
      <c r="H18" s="137"/>
    </row>
    <row r="19" spans="1:8" s="113" customFormat="1" x14ac:dyDescent="0.25">
      <c r="A19" s="104">
        <f t="shared" si="0"/>
        <v>1.03</v>
      </c>
      <c r="B19" s="117" t="s">
        <v>66</v>
      </c>
      <c r="C19" s="105" t="e">
        <f>#REF!+#REF!</f>
        <v>#REF!</v>
      </c>
      <c r="D19" s="111" t="str">
        <f>'Flat Roofing'!I21</f>
        <v>lm</v>
      </c>
      <c r="E19" s="107">
        <f>RateSiteMainUpstandToParapetWaterproofing</f>
        <v>49.043637500000003</v>
      </c>
      <c r="F19" s="108" t="e">
        <f t="shared" ref="F19:F21" si="1">C19*E19</f>
        <v>#REF!</v>
      </c>
      <c r="H19" s="137"/>
    </row>
    <row r="20" spans="1:8" s="113" customFormat="1" x14ac:dyDescent="0.25">
      <c r="A20" s="104">
        <f t="shared" si="0"/>
        <v>1.04</v>
      </c>
      <c r="B20" s="117" t="str">
        <f>_xlfn.CONCAT("Insulation System: ", 'SRES Costs'!C38)</f>
        <v>Insulation System: Rockwool Hardwood Multi-Fix 150mm</v>
      </c>
      <c r="C20" s="105" t="e">
        <f>#REF!+#REF!</f>
        <v>#REF!</v>
      </c>
      <c r="D20" s="111" t="str">
        <f>'Flat Roofing'!I21</f>
        <v>lm</v>
      </c>
      <c r="E20" s="107">
        <f>RateSiteMainUpstandToParapetInsulation</f>
        <v>82.224999999999994</v>
      </c>
      <c r="F20" s="108" t="e">
        <f t="shared" si="1"/>
        <v>#REF!</v>
      </c>
      <c r="H20" s="137"/>
    </row>
    <row r="21" spans="1:8" s="113" customFormat="1" x14ac:dyDescent="0.25">
      <c r="A21" s="104">
        <f t="shared" si="0"/>
        <v>1.05</v>
      </c>
      <c r="B21" s="117" t="s">
        <v>67</v>
      </c>
      <c r="C21" s="105" t="e">
        <f>#REF!</f>
        <v>#REF!</v>
      </c>
      <c r="D21" s="111" t="str">
        <f>'Flat Roofing'!M21</f>
        <v>lm</v>
      </c>
      <c r="E21" s="107">
        <f>RateSiteDripEdge</f>
        <v>105.82000000000001</v>
      </c>
      <c r="F21" s="108" t="e">
        <f t="shared" si="1"/>
        <v>#REF!</v>
      </c>
      <c r="H21" s="137"/>
    </row>
    <row r="22" spans="1:8" s="113" customFormat="1" x14ac:dyDescent="0.25">
      <c r="A22" s="104"/>
      <c r="B22" s="117"/>
      <c r="C22" s="182" t="s">
        <v>42</v>
      </c>
      <c r="D22" s="182"/>
      <c r="E22" s="182"/>
      <c r="F22" s="109" t="e">
        <f>SUM(F17:F21)</f>
        <v>#REF!</v>
      </c>
      <c r="H22" s="138" t="e">
        <f>[0]!ITEMTOTAL</f>
        <v>#REF!</v>
      </c>
    </row>
    <row r="23" spans="1:8" s="113" customFormat="1" x14ac:dyDescent="0.25">
      <c r="A23" s="172" t="e">
        <f>#REF!</f>
        <v>#REF!</v>
      </c>
      <c r="B23" s="173"/>
      <c r="C23" s="173"/>
      <c r="D23" s="173"/>
      <c r="E23" s="173"/>
      <c r="F23" s="174"/>
      <c r="H23" s="137"/>
    </row>
    <row r="24" spans="1:8" s="113" customFormat="1" x14ac:dyDescent="0.25">
      <c r="A24" s="127">
        <v>2</v>
      </c>
      <c r="B24" s="127"/>
      <c r="C24" s="172" t="str">
        <f>_xlfn.CONCAT(COUNT(C25:C28), " Item")</f>
        <v>0 Item</v>
      </c>
      <c r="D24" s="174"/>
      <c r="E24" s="127"/>
      <c r="F24" s="127"/>
      <c r="H24" s="137"/>
    </row>
    <row r="25" spans="1:8" s="113" customFormat="1" x14ac:dyDescent="0.25">
      <c r="A25" s="104">
        <f>A24+0.01</f>
        <v>2.0099999999999998</v>
      </c>
      <c r="B25" s="117" t="s">
        <v>64</v>
      </c>
      <c r="C25" s="105" t="e">
        <f>#REF!</f>
        <v>#REF!</v>
      </c>
      <c r="D25" s="111" t="e">
        <f>'Flat Roofing'!#REF!</f>
        <v>#REF!</v>
      </c>
      <c r="E25" s="110" t="e">
        <f>RateSiteTerraceAreaWaterproofing</f>
        <v>#REF!</v>
      </c>
      <c r="F25" s="108" t="e">
        <f>C25*E25</f>
        <v>#REF!</v>
      </c>
      <c r="H25" s="137"/>
    </row>
    <row r="26" spans="1:8" s="113" customFormat="1" x14ac:dyDescent="0.25">
      <c r="A26" s="104">
        <f t="shared" ref="A26:A30" si="2">A25+0.01</f>
        <v>2.0199999999999996</v>
      </c>
      <c r="B26" s="117" t="str">
        <f>_xlfn.CONCAT("Insulation System: ", 'SRES Costs'!$C$30)</f>
        <v>Insulation System: Paratherm T - Tapered</v>
      </c>
      <c r="C26" s="105" t="e">
        <f>#REF!</f>
        <v>#REF!</v>
      </c>
      <c r="D26" s="111" t="e">
        <f>'Flat Roofing'!#REF!</f>
        <v>#REF!</v>
      </c>
      <c r="E26" s="110" t="e">
        <f>RateSiteTerraceAreaInsulation</f>
        <v>#REF!</v>
      </c>
      <c r="F26" s="108" t="e">
        <f>C26*E26</f>
        <v>#REF!</v>
      </c>
      <c r="H26" s="137"/>
    </row>
    <row r="27" spans="1:8" s="113" customFormat="1" x14ac:dyDescent="0.25">
      <c r="A27" s="104">
        <f t="shared" si="2"/>
        <v>2.0299999999999994</v>
      </c>
      <c r="B27" s="117" t="s">
        <v>66</v>
      </c>
      <c r="C27" s="105" t="e">
        <f>#REF!+#REF!+#REF!</f>
        <v>#REF!</v>
      </c>
      <c r="D27" s="111" t="e">
        <f>'Flat Roofing'!#REF!</f>
        <v>#REF!</v>
      </c>
      <c r="E27" s="110" t="e">
        <f>RateSiteTerraceParapetUpstandToWallWaterproofing</f>
        <v>#REF!</v>
      </c>
      <c r="F27" s="108" t="e">
        <f t="shared" ref="F27:F30" si="3">C27*E27</f>
        <v>#REF!</v>
      </c>
      <c r="H27" s="137"/>
    </row>
    <row r="28" spans="1:8" s="113" customFormat="1" x14ac:dyDescent="0.25">
      <c r="A28" s="104">
        <f t="shared" si="2"/>
        <v>2.0399999999999991</v>
      </c>
      <c r="B28" s="117" t="str">
        <f>_xlfn.CONCAT("Insulation System: ", 'SRES Costs'!$C$38)</f>
        <v>Insulation System: Rockwool Hardwood Multi-Fix 150mm</v>
      </c>
      <c r="C28" s="105" t="e">
        <f>#REF!+#REF!+#REF!</f>
        <v>#REF!</v>
      </c>
      <c r="D28" s="111" t="e">
        <f>'Flat Roofing'!#REF!</f>
        <v>#REF!</v>
      </c>
      <c r="E28" s="110" t="e">
        <f>RateSiteTerraceParapetUpstandInsulation</f>
        <v>#REF!</v>
      </c>
      <c r="F28" s="108" t="e">
        <f t="shared" si="3"/>
        <v>#REF!</v>
      </c>
      <c r="H28" s="137"/>
    </row>
    <row r="29" spans="1:8" s="113" customFormat="1" x14ac:dyDescent="0.25">
      <c r="A29" s="104">
        <f t="shared" si="2"/>
        <v>2.0499999999999989</v>
      </c>
      <c r="B29" s="117" t="s">
        <v>70</v>
      </c>
      <c r="C29" s="105" t="e">
        <f>#REF!</f>
        <v>#REF!</v>
      </c>
      <c r="D29" s="111" t="e">
        <f>'Flat Roofing'!#REF!</f>
        <v>#REF!</v>
      </c>
      <c r="E29" s="110" t="e">
        <f>RateSiteOtherPaving</f>
        <v>#REF!</v>
      </c>
      <c r="F29" s="108" t="e">
        <f t="shared" si="3"/>
        <v>#REF!</v>
      </c>
      <c r="H29" s="137"/>
    </row>
    <row r="30" spans="1:8" s="113" customFormat="1" x14ac:dyDescent="0.25">
      <c r="A30" s="104">
        <f t="shared" si="2"/>
        <v>2.0599999999999987</v>
      </c>
      <c r="B30" s="117" t="s">
        <v>38</v>
      </c>
      <c r="C30" s="106" t="e">
        <f>#REF!</f>
        <v>#REF!</v>
      </c>
      <c r="D30" s="111" t="e">
        <f>'Flat Roofing'!#REF!</f>
        <v>#REF!</v>
      </c>
      <c r="E30" s="110" t="e">
        <f>RateSiteOtherRainWaterOutlets</f>
        <v>#REF!</v>
      </c>
      <c r="F30" s="108" t="e">
        <f t="shared" si="3"/>
        <v>#REF!</v>
      </c>
      <c r="H30" s="137"/>
    </row>
    <row r="31" spans="1:8" s="113" customFormat="1" x14ac:dyDescent="0.25">
      <c r="A31" s="104"/>
      <c r="B31" s="117"/>
      <c r="C31" s="182" t="s">
        <v>42</v>
      </c>
      <c r="D31" s="182"/>
      <c r="E31" s="182"/>
      <c r="F31" s="109" t="e">
        <f>SUM(F25:F30)</f>
        <v>#REF!</v>
      </c>
      <c r="H31" s="138" t="e">
        <f>[0]!ITEMTOTAL</f>
        <v>#REF!</v>
      </c>
    </row>
    <row r="32" spans="1:8" s="113" customFormat="1" x14ac:dyDescent="0.25">
      <c r="A32" s="172" t="e">
        <f>#REF!</f>
        <v>#REF!</v>
      </c>
      <c r="B32" s="173"/>
      <c r="C32" s="173"/>
      <c r="D32" s="173"/>
      <c r="E32" s="173"/>
      <c r="F32" s="174"/>
      <c r="H32" s="137"/>
    </row>
    <row r="33" spans="1:8" s="113" customFormat="1" x14ac:dyDescent="0.25">
      <c r="A33" s="127">
        <v>3</v>
      </c>
      <c r="B33" s="127"/>
      <c r="C33" s="172" t="str">
        <f>_xlfn.CONCAT(COUNT(C34:C39), " item")</f>
        <v>0 item</v>
      </c>
      <c r="D33" s="174"/>
      <c r="E33" s="127"/>
      <c r="F33" s="127"/>
      <c r="H33" s="137"/>
    </row>
    <row r="34" spans="1:8" s="113" customFormat="1" x14ac:dyDescent="0.25">
      <c r="A34" s="104">
        <f>A33+0.01</f>
        <v>3.01</v>
      </c>
      <c r="B34" s="117" t="s">
        <v>64</v>
      </c>
      <c r="C34" s="105" t="e">
        <f>#REF!+#REF!</f>
        <v>#REF!</v>
      </c>
      <c r="D34" s="111" t="e">
        <f>'Flat Roofing'!#REF!</f>
        <v>#REF!</v>
      </c>
      <c r="E34" s="110" t="e">
        <f>RateSiteTerraceAreaWaterproofing</f>
        <v>#REF!</v>
      </c>
      <c r="F34" s="108" t="e">
        <f>C34*E34</f>
        <v>#REF!</v>
      </c>
      <c r="H34" s="137"/>
    </row>
    <row r="35" spans="1:8" s="113" customFormat="1" x14ac:dyDescent="0.25">
      <c r="A35" s="104">
        <f t="shared" ref="A35:A39" si="4">A34+0.01</f>
        <v>3.0199999999999996</v>
      </c>
      <c r="B35" s="117" t="str">
        <f>_xlfn.CONCAT("Insulation System: ", 'SRES Costs'!$C$30)</f>
        <v>Insulation System: Paratherm T - Tapered</v>
      </c>
      <c r="C35" s="105" t="e">
        <f>#REF!+#REF!</f>
        <v>#REF!</v>
      </c>
      <c r="D35" s="111" t="e">
        <f>'Flat Roofing'!#REF!</f>
        <v>#REF!</v>
      </c>
      <c r="E35" s="110" t="e">
        <f>RateSiteTerraceAreaInsulation</f>
        <v>#REF!</v>
      </c>
      <c r="F35" s="108" t="e">
        <f>C35*E35</f>
        <v>#REF!</v>
      </c>
      <c r="H35" s="137"/>
    </row>
    <row r="36" spans="1:8" s="113" customFormat="1" x14ac:dyDescent="0.25">
      <c r="A36" s="104">
        <f t="shared" si="4"/>
        <v>3.0299999999999994</v>
      </c>
      <c r="B36" s="117" t="s">
        <v>66</v>
      </c>
      <c r="C36" s="105" t="e">
        <f>#REF!+#REF!+#REF!+#REF!+#REF!</f>
        <v>#REF!</v>
      </c>
      <c r="D36" s="111" t="e">
        <f>'Flat Roofing'!#REF!</f>
        <v>#REF!</v>
      </c>
      <c r="E36" s="110" t="e">
        <f>RateSiteTerraceParapetUpstandToWallWaterproofing</f>
        <v>#REF!</v>
      </c>
      <c r="F36" s="108" t="e">
        <f t="shared" ref="F36:F39" si="5">C36*E36</f>
        <v>#REF!</v>
      </c>
      <c r="H36" s="137"/>
    </row>
    <row r="37" spans="1:8" s="113" customFormat="1" x14ac:dyDescent="0.25">
      <c r="A37" s="104">
        <f t="shared" si="4"/>
        <v>3.0399999999999991</v>
      </c>
      <c r="B37" s="117" t="str">
        <f>_xlfn.CONCAT("Insulation System: ", 'SRES Costs'!$C$38)</f>
        <v>Insulation System: Rockwool Hardwood Multi-Fix 150mm</v>
      </c>
      <c r="C37" s="105" t="e">
        <f>#REF!+#REF!+#REF!+#REF!+#REF!</f>
        <v>#REF!</v>
      </c>
      <c r="D37" s="111" t="e">
        <f>'Flat Roofing'!#REF!</f>
        <v>#REF!</v>
      </c>
      <c r="E37" s="110" t="e">
        <f>RateSiteTerraceParapetUpstandInsulation</f>
        <v>#REF!</v>
      </c>
      <c r="F37" s="108" t="e">
        <f t="shared" si="5"/>
        <v>#REF!</v>
      </c>
      <c r="H37" s="137"/>
    </row>
    <row r="38" spans="1:8" s="113" customFormat="1" x14ac:dyDescent="0.25">
      <c r="A38" s="104">
        <f t="shared" si="4"/>
        <v>3.0499999999999989</v>
      </c>
      <c r="B38" s="117" t="s">
        <v>70</v>
      </c>
      <c r="C38" s="105" t="e">
        <f>#REF!</f>
        <v>#REF!</v>
      </c>
      <c r="D38" s="111" t="e">
        <f>'Flat Roofing'!#REF!</f>
        <v>#REF!</v>
      </c>
      <c r="E38" s="110" t="e">
        <f>RateSiteOtherPaving</f>
        <v>#REF!</v>
      </c>
      <c r="F38" s="108" t="e">
        <f t="shared" si="5"/>
        <v>#REF!</v>
      </c>
      <c r="H38" s="137"/>
    </row>
    <row r="39" spans="1:8" s="113" customFormat="1" x14ac:dyDescent="0.25">
      <c r="A39" s="104">
        <f t="shared" si="4"/>
        <v>3.0599999999999987</v>
      </c>
      <c r="B39" s="117" t="s">
        <v>38</v>
      </c>
      <c r="C39" s="106" t="e">
        <f>#REF!</f>
        <v>#REF!</v>
      </c>
      <c r="D39" s="111" t="e">
        <f>'Flat Roofing'!#REF!</f>
        <v>#REF!</v>
      </c>
      <c r="E39" s="110" t="e">
        <f>RateSiteOtherRainWaterOutlets</f>
        <v>#REF!</v>
      </c>
      <c r="F39" s="108" t="e">
        <f t="shared" si="5"/>
        <v>#REF!</v>
      </c>
      <c r="H39" s="137"/>
    </row>
    <row r="40" spans="1:8" s="113" customFormat="1" x14ac:dyDescent="0.25">
      <c r="A40" s="104"/>
      <c r="B40" s="117"/>
      <c r="C40" s="182" t="s">
        <v>42</v>
      </c>
      <c r="D40" s="182"/>
      <c r="E40" s="182"/>
      <c r="F40" s="109" t="e">
        <f>SUM(F34:F39)</f>
        <v>#REF!</v>
      </c>
      <c r="H40" s="138" t="e">
        <f>#REF!</f>
        <v>#REF!</v>
      </c>
    </row>
    <row r="41" spans="1:8" s="113" customFormat="1" x14ac:dyDescent="0.25">
      <c r="A41" s="172" t="e">
        <f>#REF!</f>
        <v>#REF!</v>
      </c>
      <c r="B41" s="173"/>
      <c r="C41" s="173"/>
      <c r="D41" s="173"/>
      <c r="E41" s="173"/>
      <c r="F41" s="174"/>
      <c r="H41" s="137"/>
    </row>
    <row r="42" spans="1:8" s="113" customFormat="1" x14ac:dyDescent="0.25">
      <c r="A42" s="127">
        <v>4</v>
      </c>
      <c r="B42" s="127"/>
      <c r="C42" s="172" t="str">
        <f>_xlfn.CONCAT(COUNT(C43:C48)," item")</f>
        <v>0 item</v>
      </c>
      <c r="D42" s="174"/>
      <c r="E42" s="127"/>
      <c r="F42" s="127"/>
      <c r="H42" s="137"/>
    </row>
    <row r="43" spans="1:8" s="113" customFormat="1" x14ac:dyDescent="0.25">
      <c r="A43" s="104">
        <f>A42+0.01</f>
        <v>4.01</v>
      </c>
      <c r="B43" s="117" t="s">
        <v>64</v>
      </c>
      <c r="C43" s="105" t="e">
        <f>#REF!+#REF!</f>
        <v>#REF!</v>
      </c>
      <c r="D43" s="111" t="e">
        <f>'Flat Roofing'!#REF!</f>
        <v>#REF!</v>
      </c>
      <c r="E43" s="110" t="e">
        <f>RateSiteTerraceAreaWaterproofing</f>
        <v>#REF!</v>
      </c>
      <c r="F43" s="108" t="e">
        <f>C43*E43</f>
        <v>#REF!</v>
      </c>
      <c r="H43" s="137"/>
    </row>
    <row r="44" spans="1:8" s="113" customFormat="1" x14ac:dyDescent="0.25">
      <c r="A44" s="104">
        <f t="shared" ref="A44:A48" si="6">A43+0.01</f>
        <v>4.0199999999999996</v>
      </c>
      <c r="B44" s="117" t="str">
        <f>_xlfn.CONCAT("Insulation System: ", 'SRES Costs'!$C$30)</f>
        <v>Insulation System: Paratherm T - Tapered</v>
      </c>
      <c r="C44" s="105" t="e">
        <f>#REF!+#REF!</f>
        <v>#REF!</v>
      </c>
      <c r="D44" s="111" t="e">
        <f>'Flat Roofing'!#REF!</f>
        <v>#REF!</v>
      </c>
      <c r="E44" s="110" t="e">
        <f>RateSiteTerraceAreaInsulation</f>
        <v>#REF!</v>
      </c>
      <c r="F44" s="108" t="e">
        <f>C44*E44</f>
        <v>#REF!</v>
      </c>
      <c r="H44" s="138"/>
    </row>
    <row r="45" spans="1:8" s="113" customFormat="1" x14ac:dyDescent="0.25">
      <c r="A45" s="104">
        <f t="shared" si="6"/>
        <v>4.0299999999999994</v>
      </c>
      <c r="B45" s="117" t="s">
        <v>66</v>
      </c>
      <c r="C45" s="105" t="e">
        <f>#REF!+#REF!+#REF!+#REF!+#REF!</f>
        <v>#REF!</v>
      </c>
      <c r="D45" s="111" t="e">
        <f>'Flat Roofing'!#REF!</f>
        <v>#REF!</v>
      </c>
      <c r="E45" s="110" t="e">
        <f>RateSiteTerraceParapetUpstandToWallWaterproofing</f>
        <v>#REF!</v>
      </c>
      <c r="F45" s="108" t="e">
        <f t="shared" ref="F45:F48" si="7">C45*E45</f>
        <v>#REF!</v>
      </c>
      <c r="H45" s="137"/>
    </row>
    <row r="46" spans="1:8" s="113" customFormat="1" x14ac:dyDescent="0.25">
      <c r="A46" s="104">
        <f t="shared" si="6"/>
        <v>4.0399999999999991</v>
      </c>
      <c r="B46" s="117" t="str">
        <f>_xlfn.CONCAT("Insulation System: ", 'SRES Costs'!$C$38)</f>
        <v>Insulation System: Rockwool Hardwood Multi-Fix 150mm</v>
      </c>
      <c r="C46" s="105" t="e">
        <f>#REF!+#REF!+#REF!+#REF!+#REF!</f>
        <v>#REF!</v>
      </c>
      <c r="D46" s="111" t="e">
        <f>'Flat Roofing'!#REF!</f>
        <v>#REF!</v>
      </c>
      <c r="E46" s="110" t="e">
        <f>RateSiteTerraceParapetUpstandInsulation</f>
        <v>#REF!</v>
      </c>
      <c r="F46" s="108" t="e">
        <f t="shared" si="7"/>
        <v>#REF!</v>
      </c>
      <c r="H46" s="137"/>
    </row>
    <row r="47" spans="1:8" s="113" customFormat="1" x14ac:dyDescent="0.25">
      <c r="A47" s="104">
        <f t="shared" si="6"/>
        <v>4.0499999999999989</v>
      </c>
      <c r="B47" s="117" t="s">
        <v>70</v>
      </c>
      <c r="C47" s="105" t="e">
        <f>#REF!</f>
        <v>#REF!</v>
      </c>
      <c r="D47" s="111" t="e">
        <f>'Flat Roofing'!#REF!</f>
        <v>#REF!</v>
      </c>
      <c r="E47" s="110" t="e">
        <f>RateSiteOtherPaving</f>
        <v>#REF!</v>
      </c>
      <c r="F47" s="108" t="e">
        <f t="shared" si="7"/>
        <v>#REF!</v>
      </c>
      <c r="H47" s="137"/>
    </row>
    <row r="48" spans="1:8" s="113" customFormat="1" x14ac:dyDescent="0.25">
      <c r="A48" s="104">
        <f t="shared" si="6"/>
        <v>4.0599999999999987</v>
      </c>
      <c r="B48" s="117" t="s">
        <v>38</v>
      </c>
      <c r="C48" s="106" t="e">
        <f>#REF!</f>
        <v>#REF!</v>
      </c>
      <c r="D48" s="111" t="e">
        <f>'Flat Roofing'!#REF!</f>
        <v>#REF!</v>
      </c>
      <c r="E48" s="110" t="e">
        <f>RateSiteOtherRainWaterOutlets</f>
        <v>#REF!</v>
      </c>
      <c r="F48" s="108" t="e">
        <f t="shared" si="7"/>
        <v>#REF!</v>
      </c>
      <c r="H48" s="137"/>
    </row>
    <row r="49" spans="1:8" s="113" customFormat="1" x14ac:dyDescent="0.25">
      <c r="A49" s="104"/>
      <c r="B49" s="117"/>
      <c r="C49" s="182" t="s">
        <v>42</v>
      </c>
      <c r="D49" s="182"/>
      <c r="E49" s="182"/>
      <c r="F49" s="109" t="e">
        <f>SUM(F43:F48)</f>
        <v>#REF!</v>
      </c>
      <c r="G49" s="118"/>
      <c r="H49" s="141" t="e">
        <f>#REF!</f>
        <v>#REF!</v>
      </c>
    </row>
    <row r="50" spans="1:8" s="113" customFormat="1" x14ac:dyDescent="0.25">
      <c r="A50" s="172" t="e">
        <f>#REF!</f>
        <v>#REF!</v>
      </c>
      <c r="B50" s="173"/>
      <c r="C50" s="173"/>
      <c r="D50" s="173"/>
      <c r="E50" s="173"/>
      <c r="F50" s="174"/>
      <c r="H50" s="136"/>
    </row>
    <row r="51" spans="1:8" s="113" customFormat="1" x14ac:dyDescent="0.25">
      <c r="A51" s="127">
        <v>5</v>
      </c>
      <c r="B51" s="127"/>
      <c r="C51" s="172" t="str">
        <f>_xlfn.CONCAT(COUNT(C52:C57), " item")</f>
        <v>0 item</v>
      </c>
      <c r="D51" s="174"/>
      <c r="E51" s="127"/>
      <c r="F51" s="127"/>
      <c r="H51" s="136"/>
    </row>
    <row r="52" spans="1:8" s="113" customFormat="1" x14ac:dyDescent="0.25">
      <c r="A52" s="104">
        <f>A51+0.01</f>
        <v>5.01</v>
      </c>
      <c r="B52" s="117" t="s">
        <v>64</v>
      </c>
      <c r="C52" s="105" t="e">
        <f>#REF!</f>
        <v>#REF!</v>
      </c>
      <c r="D52" s="111" t="e">
        <f>'Flat Roofing'!#REF!</f>
        <v>#REF!</v>
      </c>
      <c r="E52" s="110" t="e">
        <f>RateSiteTerraceAreaWaterproofing</f>
        <v>#REF!</v>
      </c>
      <c r="F52" s="108" t="e">
        <f>C52*E52</f>
        <v>#REF!</v>
      </c>
      <c r="H52" s="136"/>
    </row>
    <row r="53" spans="1:8" s="113" customFormat="1" x14ac:dyDescent="0.25">
      <c r="A53" s="104">
        <f t="shared" ref="A53:A57" si="8">A52+0.01</f>
        <v>5.0199999999999996</v>
      </c>
      <c r="B53" s="117" t="str">
        <f>_xlfn.CONCAT("Insulation System: ", 'SRES Costs'!$C$30)</f>
        <v>Insulation System: Paratherm T - Tapered</v>
      </c>
      <c r="C53" s="105" t="e">
        <f>#REF!</f>
        <v>#REF!</v>
      </c>
      <c r="D53" s="111" t="e">
        <f>'Flat Roofing'!#REF!</f>
        <v>#REF!</v>
      </c>
      <c r="E53" s="110" t="e">
        <f>RateSiteTerraceAreaInsulation</f>
        <v>#REF!</v>
      </c>
      <c r="F53" s="108" t="e">
        <f>C53*E53</f>
        <v>#REF!</v>
      </c>
      <c r="H53" s="136"/>
    </row>
    <row r="54" spans="1:8" s="113" customFormat="1" x14ac:dyDescent="0.25">
      <c r="A54" s="104">
        <f t="shared" si="8"/>
        <v>5.0299999999999994</v>
      </c>
      <c r="B54" s="117" t="s">
        <v>66</v>
      </c>
      <c r="C54" s="105" t="e">
        <f>#REF!+#REF!+#REF!</f>
        <v>#REF!</v>
      </c>
      <c r="D54" s="111" t="e">
        <f>'Flat Roofing'!#REF!</f>
        <v>#REF!</v>
      </c>
      <c r="E54" s="110" t="e">
        <f>RateSiteTerraceParapetUpstandToWallWaterproofing</f>
        <v>#REF!</v>
      </c>
      <c r="F54" s="108" t="e">
        <f t="shared" ref="F54:F57" si="9">C54*E54</f>
        <v>#REF!</v>
      </c>
      <c r="H54" s="136"/>
    </row>
    <row r="55" spans="1:8" s="113" customFormat="1" x14ac:dyDescent="0.25">
      <c r="A55" s="104">
        <f t="shared" si="8"/>
        <v>5.0399999999999991</v>
      </c>
      <c r="B55" s="117" t="str">
        <f>_xlfn.CONCAT("Insulation System: ", 'SRES Costs'!$C$38)</f>
        <v>Insulation System: Rockwool Hardwood Multi-Fix 150mm</v>
      </c>
      <c r="C55" s="105" t="e">
        <f>#REF!+#REF!+#REF!</f>
        <v>#REF!</v>
      </c>
      <c r="D55" s="111" t="e">
        <f>'Flat Roofing'!#REF!</f>
        <v>#REF!</v>
      </c>
      <c r="E55" s="110" t="e">
        <f>RateSiteTerraceParapetUpstandInsulation</f>
        <v>#REF!</v>
      </c>
      <c r="F55" s="108" t="e">
        <f t="shared" si="9"/>
        <v>#REF!</v>
      </c>
      <c r="H55" s="136"/>
    </row>
    <row r="56" spans="1:8" s="113" customFormat="1" x14ac:dyDescent="0.25">
      <c r="A56" s="104">
        <f t="shared" si="8"/>
        <v>5.0499999999999989</v>
      </c>
      <c r="B56" s="117" t="s">
        <v>70</v>
      </c>
      <c r="C56" s="105" t="e">
        <f>#REF!</f>
        <v>#REF!</v>
      </c>
      <c r="D56" s="111" t="e">
        <f>'Flat Roofing'!#REF!</f>
        <v>#REF!</v>
      </c>
      <c r="E56" s="110" t="e">
        <f>RateSiteOtherPaving</f>
        <v>#REF!</v>
      </c>
      <c r="F56" s="108" t="e">
        <f t="shared" si="9"/>
        <v>#REF!</v>
      </c>
      <c r="H56" s="136"/>
    </row>
    <row r="57" spans="1:8" s="113" customFormat="1" x14ac:dyDescent="0.25">
      <c r="A57" s="104">
        <f t="shared" si="8"/>
        <v>5.0599999999999987</v>
      </c>
      <c r="B57" s="117" t="s">
        <v>38</v>
      </c>
      <c r="C57" s="106" t="e">
        <f>#REF!</f>
        <v>#REF!</v>
      </c>
      <c r="D57" s="111" t="e">
        <f>'Flat Roofing'!#REF!</f>
        <v>#REF!</v>
      </c>
      <c r="E57" s="110" t="e">
        <f>RateSiteOtherRainWaterOutlets</f>
        <v>#REF!</v>
      </c>
      <c r="F57" s="108" t="e">
        <f t="shared" si="9"/>
        <v>#REF!</v>
      </c>
      <c r="H57" s="136"/>
    </row>
    <row r="58" spans="1:8" s="113" customFormat="1" x14ac:dyDescent="0.25">
      <c r="A58" s="104"/>
      <c r="B58" s="117"/>
      <c r="C58" s="182" t="s">
        <v>42</v>
      </c>
      <c r="D58" s="182"/>
      <c r="E58" s="182"/>
      <c r="F58" s="109" t="e">
        <f>SUM(F52:F57)</f>
        <v>#REF!</v>
      </c>
      <c r="H58" s="141" t="e">
        <f>#REF!</f>
        <v>#REF!</v>
      </c>
    </row>
    <row r="59" spans="1:8" s="113" customFormat="1" x14ac:dyDescent="0.25">
      <c r="A59" s="172" t="e">
        <f>#REF!</f>
        <v>#REF!</v>
      </c>
      <c r="B59" s="173"/>
      <c r="C59" s="173"/>
      <c r="D59" s="173"/>
      <c r="E59" s="173"/>
      <c r="F59" s="174"/>
      <c r="H59" s="136"/>
    </row>
    <row r="60" spans="1:8" s="113" customFormat="1" x14ac:dyDescent="0.25">
      <c r="A60" s="127">
        <v>6</v>
      </c>
      <c r="B60" s="127"/>
      <c r="C60" s="172" t="str">
        <f>_xlfn.CONCAT(COUNT(C61:C66), " item")</f>
        <v>0 item</v>
      </c>
      <c r="D60" s="174"/>
      <c r="E60" s="127"/>
      <c r="F60" s="127"/>
      <c r="H60" s="136"/>
    </row>
    <row r="61" spans="1:8" s="113" customFormat="1" x14ac:dyDescent="0.25">
      <c r="A61" s="104">
        <f>A60+0.01</f>
        <v>6.01</v>
      </c>
      <c r="B61" s="117" t="s">
        <v>64</v>
      </c>
      <c r="C61" s="105" t="e">
        <f>#REF!</f>
        <v>#REF!</v>
      </c>
      <c r="D61" s="111" t="e">
        <f>'Flat Roofing'!#REF!</f>
        <v>#REF!</v>
      </c>
      <c r="E61" s="110" t="e">
        <f>RateSiteTerraceAreaWaterproofing</f>
        <v>#REF!</v>
      </c>
      <c r="F61" s="108" t="e">
        <f>C61*E61</f>
        <v>#REF!</v>
      </c>
      <c r="H61" s="136"/>
    </row>
    <row r="62" spans="1:8" s="113" customFormat="1" x14ac:dyDescent="0.25">
      <c r="A62" s="104">
        <f t="shared" ref="A62:A66" si="10">A61+0.01</f>
        <v>6.02</v>
      </c>
      <c r="B62" s="117" t="str">
        <f>_xlfn.CONCAT("Insulation System: ", 'SRES Costs'!$C$30)</f>
        <v>Insulation System: Paratherm T - Tapered</v>
      </c>
      <c r="C62" s="105" t="e">
        <f>#REF!</f>
        <v>#REF!</v>
      </c>
      <c r="D62" s="111" t="e">
        <f>'Flat Roofing'!#REF!</f>
        <v>#REF!</v>
      </c>
      <c r="E62" s="110" t="e">
        <f>RateSiteTerraceAreaInsulation</f>
        <v>#REF!</v>
      </c>
      <c r="F62" s="108" t="e">
        <f>C62*E62</f>
        <v>#REF!</v>
      </c>
      <c r="H62" s="136"/>
    </row>
    <row r="63" spans="1:8" s="113" customFormat="1" x14ac:dyDescent="0.25">
      <c r="A63" s="104">
        <f t="shared" si="10"/>
        <v>6.0299999999999994</v>
      </c>
      <c r="B63" s="117" t="s">
        <v>66</v>
      </c>
      <c r="C63" s="105" t="e">
        <f>#REF!+#REF!+#REF!</f>
        <v>#REF!</v>
      </c>
      <c r="D63" s="111" t="e">
        <f>'Flat Roofing'!#REF!</f>
        <v>#REF!</v>
      </c>
      <c r="E63" s="110" t="e">
        <f>RateSiteTerraceParapetUpstandToWallWaterproofing</f>
        <v>#REF!</v>
      </c>
      <c r="F63" s="108" t="e">
        <f t="shared" ref="F63:F66" si="11">C63*E63</f>
        <v>#REF!</v>
      </c>
      <c r="H63" s="136"/>
    </row>
    <row r="64" spans="1:8" s="113" customFormat="1" x14ac:dyDescent="0.25">
      <c r="A64" s="104">
        <f t="shared" si="10"/>
        <v>6.0399999999999991</v>
      </c>
      <c r="B64" s="117" t="str">
        <f>_xlfn.CONCAT("Insulation System: ", 'SRES Costs'!$C$38)</f>
        <v>Insulation System: Rockwool Hardwood Multi-Fix 150mm</v>
      </c>
      <c r="C64" s="105" t="e">
        <f>#REF!+#REF!+#REF!</f>
        <v>#REF!</v>
      </c>
      <c r="D64" s="111" t="e">
        <f>'Flat Roofing'!#REF!</f>
        <v>#REF!</v>
      </c>
      <c r="E64" s="110" t="e">
        <f>RateSiteTerraceParapetUpstandInsulation</f>
        <v>#REF!</v>
      </c>
      <c r="F64" s="108" t="e">
        <f t="shared" si="11"/>
        <v>#REF!</v>
      </c>
      <c r="H64" s="136"/>
    </row>
    <row r="65" spans="1:8" s="113" customFormat="1" x14ac:dyDescent="0.25">
      <c r="A65" s="104">
        <f t="shared" si="10"/>
        <v>6.0499999999999989</v>
      </c>
      <c r="B65" s="117" t="s">
        <v>70</v>
      </c>
      <c r="C65" s="105" t="e">
        <f>#REF!</f>
        <v>#REF!</v>
      </c>
      <c r="D65" s="111" t="e">
        <f>'Flat Roofing'!#REF!</f>
        <v>#REF!</v>
      </c>
      <c r="E65" s="110" t="e">
        <f>RateSiteOtherPaving</f>
        <v>#REF!</v>
      </c>
      <c r="F65" s="108" t="e">
        <f t="shared" si="11"/>
        <v>#REF!</v>
      </c>
      <c r="H65" s="136"/>
    </row>
    <row r="66" spans="1:8" s="113" customFormat="1" x14ac:dyDescent="0.25">
      <c r="A66" s="104">
        <f t="shared" si="10"/>
        <v>6.0599999999999987</v>
      </c>
      <c r="B66" s="117" t="s">
        <v>38</v>
      </c>
      <c r="C66" s="106" t="e">
        <f>#REF!</f>
        <v>#REF!</v>
      </c>
      <c r="D66" s="111" t="e">
        <f>'Flat Roofing'!#REF!</f>
        <v>#REF!</v>
      </c>
      <c r="E66" s="110" t="e">
        <f>RateSiteOtherRainWaterOutlets</f>
        <v>#REF!</v>
      </c>
      <c r="F66" s="108" t="e">
        <f t="shared" si="11"/>
        <v>#REF!</v>
      </c>
      <c r="H66" s="136"/>
    </row>
    <row r="67" spans="1:8" s="113" customFormat="1" x14ac:dyDescent="0.25">
      <c r="A67" s="104"/>
      <c r="B67" s="117"/>
      <c r="C67" s="182" t="s">
        <v>42</v>
      </c>
      <c r="D67" s="182"/>
      <c r="E67" s="182"/>
      <c r="F67" s="109" t="e">
        <f>SUM(F61:F66)</f>
        <v>#REF!</v>
      </c>
      <c r="H67" s="141" t="e">
        <f>#REF!</f>
        <v>#REF!</v>
      </c>
    </row>
    <row r="68" spans="1:8" s="113" customFormat="1" x14ac:dyDescent="0.25">
      <c r="A68" s="172" t="e">
        <f>#REF!</f>
        <v>#REF!</v>
      </c>
      <c r="B68" s="173"/>
      <c r="C68" s="173"/>
      <c r="D68" s="173"/>
      <c r="E68" s="173"/>
      <c r="F68" s="174"/>
      <c r="H68" s="136"/>
    </row>
    <row r="69" spans="1:8" s="113" customFormat="1" x14ac:dyDescent="0.25">
      <c r="A69" s="127">
        <v>7</v>
      </c>
      <c r="B69" s="127"/>
      <c r="C69" s="172" t="str">
        <f>_xlfn.CONCAT(COUNT(C70:C75), " item")</f>
        <v>0 item</v>
      </c>
      <c r="D69" s="174"/>
      <c r="E69" s="127"/>
      <c r="F69" s="127"/>
      <c r="H69" s="136"/>
    </row>
    <row r="70" spans="1:8" s="113" customFormat="1" x14ac:dyDescent="0.25">
      <c r="A70" s="104">
        <f>A69+0.01</f>
        <v>7.01</v>
      </c>
      <c r="B70" s="117" t="s">
        <v>64</v>
      </c>
      <c r="C70" s="105" t="e">
        <f>#REF!</f>
        <v>#REF!</v>
      </c>
      <c r="D70" s="111" t="e">
        <f>'Flat Roofing'!#REF!</f>
        <v>#REF!</v>
      </c>
      <c r="E70" s="110" t="e">
        <f>RateSiteTerraceAreaWaterproofing</f>
        <v>#REF!</v>
      </c>
      <c r="F70" s="108" t="e">
        <f>C70*E70</f>
        <v>#REF!</v>
      </c>
      <c r="H70" s="136"/>
    </row>
    <row r="71" spans="1:8" s="113" customFormat="1" x14ac:dyDescent="0.25">
      <c r="A71" s="104">
        <f t="shared" ref="A71:A75" si="12">A70+0.01</f>
        <v>7.02</v>
      </c>
      <c r="B71" s="117" t="str">
        <f>_xlfn.CONCAT("Insulation System: ", 'SRES Costs'!$C$30)</f>
        <v>Insulation System: Paratherm T - Tapered</v>
      </c>
      <c r="C71" s="105" t="e">
        <f>#REF!</f>
        <v>#REF!</v>
      </c>
      <c r="D71" s="111" t="e">
        <f>'Flat Roofing'!#REF!</f>
        <v>#REF!</v>
      </c>
      <c r="E71" s="110" t="e">
        <f>RateSiteTerraceAreaInsulation</f>
        <v>#REF!</v>
      </c>
      <c r="F71" s="108" t="e">
        <f>C71*E71</f>
        <v>#REF!</v>
      </c>
      <c r="H71" s="136"/>
    </row>
    <row r="72" spans="1:8" s="113" customFormat="1" x14ac:dyDescent="0.25">
      <c r="A72" s="104">
        <f t="shared" si="12"/>
        <v>7.0299999999999994</v>
      </c>
      <c r="B72" s="117" t="s">
        <v>66</v>
      </c>
      <c r="C72" s="105" t="e">
        <f>#REF!+#REF!+#REF!</f>
        <v>#REF!</v>
      </c>
      <c r="D72" s="111" t="e">
        <f>'Flat Roofing'!#REF!</f>
        <v>#REF!</v>
      </c>
      <c r="E72" s="110" t="e">
        <f>RateSiteTerraceParapetUpstandToWallWaterproofing</f>
        <v>#REF!</v>
      </c>
      <c r="F72" s="108" t="e">
        <f t="shared" ref="F72:F75" si="13">C72*E72</f>
        <v>#REF!</v>
      </c>
      <c r="H72" s="136"/>
    </row>
    <row r="73" spans="1:8" s="113" customFormat="1" x14ac:dyDescent="0.25">
      <c r="A73" s="104">
        <f t="shared" si="12"/>
        <v>7.0399999999999991</v>
      </c>
      <c r="B73" s="117" t="str">
        <f>_xlfn.CONCAT("Insulation System: ", 'SRES Costs'!$C$38)</f>
        <v>Insulation System: Rockwool Hardwood Multi-Fix 150mm</v>
      </c>
      <c r="C73" s="105" t="e">
        <f>#REF!+#REF!+#REF!</f>
        <v>#REF!</v>
      </c>
      <c r="D73" s="111" t="e">
        <f>'Flat Roofing'!#REF!</f>
        <v>#REF!</v>
      </c>
      <c r="E73" s="110" t="e">
        <f>RateSiteTerraceParapetUpstandInsulation</f>
        <v>#REF!</v>
      </c>
      <c r="F73" s="108" t="e">
        <f t="shared" si="13"/>
        <v>#REF!</v>
      </c>
      <c r="H73" s="136"/>
    </row>
    <row r="74" spans="1:8" s="113" customFormat="1" x14ac:dyDescent="0.25">
      <c r="A74" s="104">
        <f t="shared" si="12"/>
        <v>7.0499999999999989</v>
      </c>
      <c r="B74" s="117" t="s">
        <v>70</v>
      </c>
      <c r="C74" s="105" t="e">
        <f>#REF!</f>
        <v>#REF!</v>
      </c>
      <c r="D74" s="111" t="e">
        <f>'Flat Roofing'!#REF!</f>
        <v>#REF!</v>
      </c>
      <c r="E74" s="110" t="e">
        <f>RateSiteOtherPaving</f>
        <v>#REF!</v>
      </c>
      <c r="F74" s="108" t="e">
        <f t="shared" si="13"/>
        <v>#REF!</v>
      </c>
      <c r="H74" s="136"/>
    </row>
    <row r="75" spans="1:8" s="113" customFormat="1" x14ac:dyDescent="0.25">
      <c r="A75" s="104">
        <f t="shared" si="12"/>
        <v>7.0599999999999987</v>
      </c>
      <c r="B75" s="117" t="s">
        <v>38</v>
      </c>
      <c r="C75" s="106" t="e">
        <f>#REF!</f>
        <v>#REF!</v>
      </c>
      <c r="D75" s="111" t="e">
        <f>'Flat Roofing'!#REF!</f>
        <v>#REF!</v>
      </c>
      <c r="E75" s="110" t="e">
        <f>RateSiteOtherRainWaterOutlets</f>
        <v>#REF!</v>
      </c>
      <c r="F75" s="108" t="e">
        <f t="shared" si="13"/>
        <v>#REF!</v>
      </c>
      <c r="H75" s="136"/>
    </row>
    <row r="76" spans="1:8" s="113" customFormat="1" x14ac:dyDescent="0.25">
      <c r="A76" s="104"/>
      <c r="B76" s="117"/>
      <c r="C76" s="182" t="s">
        <v>42</v>
      </c>
      <c r="D76" s="182"/>
      <c r="E76" s="182"/>
      <c r="F76" s="109" t="e">
        <f>SUM(F70:F75)</f>
        <v>#REF!</v>
      </c>
      <c r="H76" s="141" t="e">
        <f>#REF!</f>
        <v>#REF!</v>
      </c>
    </row>
    <row r="77" spans="1:8" s="113" customFormat="1" x14ac:dyDescent="0.25">
      <c r="A77" s="172" t="e">
        <f>#REF!</f>
        <v>#REF!</v>
      </c>
      <c r="B77" s="173"/>
      <c r="C77" s="173"/>
      <c r="D77" s="173"/>
      <c r="E77" s="173"/>
      <c r="F77" s="174"/>
      <c r="H77" s="136"/>
    </row>
    <row r="78" spans="1:8" s="113" customFormat="1" x14ac:dyDescent="0.25">
      <c r="A78" s="127">
        <v>8</v>
      </c>
      <c r="B78" s="127"/>
      <c r="C78" s="172" t="str">
        <f>_xlfn.CONCAT(COUNT(C79:C84)," item")</f>
        <v>0 item</v>
      </c>
      <c r="D78" s="174"/>
      <c r="E78" s="127"/>
      <c r="F78" s="127"/>
      <c r="H78" s="136"/>
    </row>
    <row r="79" spans="1:8" s="113" customFormat="1" x14ac:dyDescent="0.25">
      <c r="A79" s="104">
        <f>A78+0.01</f>
        <v>8.01</v>
      </c>
      <c r="B79" s="117" t="s">
        <v>64</v>
      </c>
      <c r="C79" s="105" t="e">
        <f>#REF!</f>
        <v>#REF!</v>
      </c>
      <c r="D79" s="111" t="e">
        <f>'Flat Roofing'!#REF!</f>
        <v>#REF!</v>
      </c>
      <c r="E79" s="110" t="e">
        <f>RateSiteTerraceAreaWaterproofing</f>
        <v>#REF!</v>
      </c>
      <c r="F79" s="108" t="e">
        <f>C79*E79</f>
        <v>#REF!</v>
      </c>
      <c r="H79" s="136"/>
    </row>
    <row r="80" spans="1:8" s="113" customFormat="1" x14ac:dyDescent="0.25">
      <c r="A80" s="104">
        <f t="shared" ref="A80:A84" si="14">A79+0.01</f>
        <v>8.02</v>
      </c>
      <c r="B80" s="117" t="str">
        <f>_xlfn.CONCAT("Insulation System: ", 'SRES Costs'!$C$30)</f>
        <v>Insulation System: Paratherm T - Tapered</v>
      </c>
      <c r="C80" s="105" t="e">
        <f>#REF!</f>
        <v>#REF!</v>
      </c>
      <c r="D80" s="111" t="e">
        <f>'Flat Roofing'!#REF!</f>
        <v>#REF!</v>
      </c>
      <c r="E80" s="110" t="e">
        <f>RateSiteTerraceAreaInsulation</f>
        <v>#REF!</v>
      </c>
      <c r="F80" s="108" t="e">
        <f>C80*E80</f>
        <v>#REF!</v>
      </c>
      <c r="H80" s="136"/>
    </row>
    <row r="81" spans="1:8" s="113" customFormat="1" x14ac:dyDescent="0.25">
      <c r="A81" s="104">
        <f t="shared" si="14"/>
        <v>8.0299999999999994</v>
      </c>
      <c r="B81" s="117" t="s">
        <v>66</v>
      </c>
      <c r="C81" s="105" t="e">
        <f>#REF!+#REF!+#REF!</f>
        <v>#REF!</v>
      </c>
      <c r="D81" s="111" t="e">
        <f>'Flat Roofing'!#REF!</f>
        <v>#REF!</v>
      </c>
      <c r="E81" s="110" t="e">
        <f>RateSiteTerraceParapetUpstandToWallWaterproofing</f>
        <v>#REF!</v>
      </c>
      <c r="F81" s="108" t="e">
        <f t="shared" ref="F81:F84" si="15">C81*E81</f>
        <v>#REF!</v>
      </c>
      <c r="H81" s="136"/>
    </row>
    <row r="82" spans="1:8" s="113" customFormat="1" x14ac:dyDescent="0.25">
      <c r="A82" s="104">
        <f t="shared" si="14"/>
        <v>8.0399999999999991</v>
      </c>
      <c r="B82" s="117" t="str">
        <f>_xlfn.CONCAT("Insulation System: ", 'SRES Costs'!$C$38)</f>
        <v>Insulation System: Rockwool Hardwood Multi-Fix 150mm</v>
      </c>
      <c r="C82" s="105" t="e">
        <f>#REF!+#REF!+#REF!</f>
        <v>#REF!</v>
      </c>
      <c r="D82" s="111" t="e">
        <f>'Flat Roofing'!#REF!</f>
        <v>#REF!</v>
      </c>
      <c r="E82" s="110" t="e">
        <f>RateSiteTerraceParapetUpstandInsulation</f>
        <v>#REF!</v>
      </c>
      <c r="F82" s="108" t="e">
        <f t="shared" si="15"/>
        <v>#REF!</v>
      </c>
      <c r="H82" s="136"/>
    </row>
    <row r="83" spans="1:8" s="113" customFormat="1" x14ac:dyDescent="0.25">
      <c r="A83" s="104">
        <f t="shared" si="14"/>
        <v>8.0499999999999989</v>
      </c>
      <c r="B83" s="117" t="s">
        <v>70</v>
      </c>
      <c r="C83" s="105" t="e">
        <f>#REF!</f>
        <v>#REF!</v>
      </c>
      <c r="D83" s="111" t="e">
        <f>'Flat Roofing'!#REF!</f>
        <v>#REF!</v>
      </c>
      <c r="E83" s="110" t="e">
        <f>RateSiteOtherPaving</f>
        <v>#REF!</v>
      </c>
      <c r="F83" s="108" t="e">
        <f t="shared" si="15"/>
        <v>#REF!</v>
      </c>
      <c r="H83" s="136"/>
    </row>
    <row r="84" spans="1:8" s="113" customFormat="1" x14ac:dyDescent="0.25">
      <c r="A84" s="104">
        <f t="shared" si="14"/>
        <v>8.0599999999999987</v>
      </c>
      <c r="B84" s="117" t="s">
        <v>38</v>
      </c>
      <c r="C84" s="106" t="e">
        <f>#REF!</f>
        <v>#REF!</v>
      </c>
      <c r="D84" s="111" t="e">
        <f>'Flat Roofing'!#REF!</f>
        <v>#REF!</v>
      </c>
      <c r="E84" s="110" t="e">
        <f>RateSiteOtherRainWaterOutlets</f>
        <v>#REF!</v>
      </c>
      <c r="F84" s="108" t="e">
        <f t="shared" si="15"/>
        <v>#REF!</v>
      </c>
      <c r="H84" s="136"/>
    </row>
    <row r="85" spans="1:8" s="113" customFormat="1" x14ac:dyDescent="0.25">
      <c r="A85" s="104"/>
      <c r="B85" s="117"/>
      <c r="C85" s="182" t="s">
        <v>42</v>
      </c>
      <c r="D85" s="182"/>
      <c r="E85" s="182"/>
      <c r="F85" s="109" t="e">
        <f>SUM(F79:F84)</f>
        <v>#REF!</v>
      </c>
      <c r="H85" s="141" t="e">
        <f>#REF!</f>
        <v>#REF!</v>
      </c>
    </row>
    <row r="86" spans="1:8" s="113" customFormat="1" x14ac:dyDescent="0.25">
      <c r="A86" s="172" t="e">
        <f>#REF!</f>
        <v>#REF!</v>
      </c>
      <c r="B86" s="173"/>
      <c r="C86" s="173"/>
      <c r="D86" s="173"/>
      <c r="E86" s="173"/>
      <c r="F86" s="174"/>
      <c r="H86" s="136"/>
    </row>
    <row r="87" spans="1:8" s="113" customFormat="1" x14ac:dyDescent="0.25">
      <c r="A87" s="127">
        <v>9</v>
      </c>
      <c r="B87" s="127"/>
      <c r="C87" s="172" t="str">
        <f>_xlfn.CONCAT(COUNT(C88:C94), " item")</f>
        <v>0 item</v>
      </c>
      <c r="D87" s="174"/>
      <c r="E87" s="127"/>
      <c r="F87" s="127"/>
      <c r="H87" s="136"/>
    </row>
    <row r="88" spans="1:8" s="113" customFormat="1" x14ac:dyDescent="0.25">
      <c r="A88" s="104">
        <f>A87+0.01</f>
        <v>9.01</v>
      </c>
      <c r="B88" s="117" t="s">
        <v>64</v>
      </c>
      <c r="C88" s="105" t="e">
        <f>#REF!+#REF!</f>
        <v>#REF!</v>
      </c>
      <c r="D88" s="111" t="e">
        <f>'Flat Roofing'!#REF!</f>
        <v>#REF!</v>
      </c>
      <c r="E88" s="110" t="e">
        <f>RateSiteTerraceAreaWaterproofing</f>
        <v>#REF!</v>
      </c>
      <c r="F88" s="108" t="e">
        <f>C88*E88</f>
        <v>#REF!</v>
      </c>
      <c r="H88" s="136"/>
    </row>
    <row r="89" spans="1:8" s="113" customFormat="1" x14ac:dyDescent="0.25">
      <c r="A89" s="104">
        <f t="shared" ref="A89:A94" si="16">A88+0.01</f>
        <v>9.02</v>
      </c>
      <c r="B89" s="117" t="str">
        <f>_xlfn.CONCAT("Insulation System: ", 'SRES Costs'!$C$30)</f>
        <v>Insulation System: Paratherm T - Tapered</v>
      </c>
      <c r="C89" s="105" t="e">
        <f>#REF!+#REF!</f>
        <v>#REF!</v>
      </c>
      <c r="D89" s="111" t="e">
        <f>'Flat Roofing'!#REF!</f>
        <v>#REF!</v>
      </c>
      <c r="E89" s="110" t="e">
        <f>RateSiteTerraceAreaInsulation</f>
        <v>#REF!</v>
      </c>
      <c r="F89" s="108" t="e">
        <f>C89*E89</f>
        <v>#REF!</v>
      </c>
      <c r="H89" s="136"/>
    </row>
    <row r="90" spans="1:8" s="113" customFormat="1" x14ac:dyDescent="0.25">
      <c r="A90" s="104">
        <f t="shared" si="16"/>
        <v>9.0299999999999994</v>
      </c>
      <c r="B90" s="117" t="s">
        <v>66</v>
      </c>
      <c r="C90" s="105" t="e">
        <f>#REF!+#REF!</f>
        <v>#REF!</v>
      </c>
      <c r="D90" s="111" t="e">
        <f>'Flat Roofing'!#REF!</f>
        <v>#REF!</v>
      </c>
      <c r="E90" s="110" t="e">
        <f>RateSiteTerraceParapetUpstandToWallWaterproofing</f>
        <v>#REF!</v>
      </c>
      <c r="F90" s="108" t="e">
        <f t="shared" ref="F90:F94" si="17">C90*E90</f>
        <v>#REF!</v>
      </c>
      <c r="H90" s="136"/>
    </row>
    <row r="91" spans="1:8" s="113" customFormat="1" x14ac:dyDescent="0.25">
      <c r="A91" s="104">
        <f t="shared" si="16"/>
        <v>9.0399999999999991</v>
      </c>
      <c r="B91" s="117" t="str">
        <f>_xlfn.CONCAT("Insulation System: ", 'SRES Costs'!$C$38)</f>
        <v>Insulation System: Rockwool Hardwood Multi-Fix 150mm</v>
      </c>
      <c r="C91" s="105" t="e">
        <f>#REF!+#REF!</f>
        <v>#REF!</v>
      </c>
      <c r="D91" s="111" t="e">
        <f>'Flat Roofing'!#REF!</f>
        <v>#REF!</v>
      </c>
      <c r="E91" s="110" t="e">
        <f>RateSiteTerraceParapetUpstandInsulation</f>
        <v>#REF!</v>
      </c>
      <c r="F91" s="108" t="e">
        <f t="shared" si="17"/>
        <v>#REF!</v>
      </c>
      <c r="H91" s="136"/>
    </row>
    <row r="92" spans="1:8" s="113" customFormat="1" x14ac:dyDescent="0.25">
      <c r="A92" s="104">
        <f t="shared" si="16"/>
        <v>9.0499999999999989</v>
      </c>
      <c r="B92" s="117" t="s">
        <v>71</v>
      </c>
      <c r="C92" s="158" t="e">
        <f>#REF!</f>
        <v>#REF!</v>
      </c>
      <c r="D92" s="111" t="e">
        <f>'Flat Roofing'!#REF!</f>
        <v>#REF!</v>
      </c>
      <c r="E92" s="110" t="e">
        <f>RateSiteLiftUpstandWaterproofing</f>
        <v>#REF!</v>
      </c>
      <c r="F92" s="108" t="e">
        <f t="shared" si="17"/>
        <v>#REF!</v>
      </c>
      <c r="H92" s="136"/>
    </row>
    <row r="93" spans="1:8" s="113" customFormat="1" x14ac:dyDescent="0.25">
      <c r="A93" s="104">
        <f t="shared" si="16"/>
        <v>9.0599999999999987</v>
      </c>
      <c r="B93" s="117" t="str">
        <f>_xlfn.CONCAT("Insulation System: ", 'SRES Costs'!$C$38)</f>
        <v>Insulation System: Rockwool Hardwood Multi-Fix 150mm</v>
      </c>
      <c r="C93" s="158" t="e">
        <f>#REF!</f>
        <v>#REF!</v>
      </c>
      <c r="D93" s="111" t="e">
        <f>'Flat Roofing'!#REF!</f>
        <v>#REF!</v>
      </c>
      <c r="E93" s="110" t="e">
        <f>RateSiteLiftInsulation</f>
        <v>#REF!</v>
      </c>
      <c r="F93" s="108" t="e">
        <f t="shared" si="17"/>
        <v>#REF!</v>
      </c>
      <c r="H93" s="136"/>
    </row>
    <row r="94" spans="1:8" s="113" customFormat="1" x14ac:dyDescent="0.25">
      <c r="A94" s="104">
        <f t="shared" si="16"/>
        <v>9.0699999999999985</v>
      </c>
      <c r="B94" s="117" t="s">
        <v>38</v>
      </c>
      <c r="C94" s="106" t="e">
        <f>#REF!</f>
        <v>#REF!</v>
      </c>
      <c r="D94" s="111" t="e">
        <f>'Flat Roofing'!#REF!</f>
        <v>#REF!</v>
      </c>
      <c r="E94" s="110" t="e">
        <f>RateSiteOtherRainWaterOutlets</f>
        <v>#REF!</v>
      </c>
      <c r="F94" s="108" t="e">
        <f t="shared" si="17"/>
        <v>#REF!</v>
      </c>
      <c r="H94" s="136"/>
    </row>
    <row r="95" spans="1:8" s="113" customFormat="1" x14ac:dyDescent="0.25">
      <c r="A95" s="104"/>
      <c r="B95" s="117"/>
      <c r="C95" s="182" t="s">
        <v>42</v>
      </c>
      <c r="D95" s="182"/>
      <c r="E95" s="182"/>
      <c r="F95" s="109" t="e">
        <f>SUM(F88:F94)</f>
        <v>#REF!</v>
      </c>
      <c r="H95" s="141" t="e">
        <f>#REF!</f>
        <v>#REF!</v>
      </c>
    </row>
    <row r="96" spans="1:8" s="113" customFormat="1" ht="25.5" customHeight="1" x14ac:dyDescent="0.25">
      <c r="A96" s="119"/>
      <c r="B96" s="120"/>
      <c r="C96" s="121"/>
      <c r="D96" s="122"/>
      <c r="E96" s="123"/>
      <c r="F96" s="124"/>
      <c r="H96" s="137"/>
    </row>
    <row r="97" spans="1:11" s="113" customFormat="1" x14ac:dyDescent="0.25">
      <c r="A97" s="127">
        <v>1</v>
      </c>
      <c r="B97" s="127" t="e">
        <f>A15</f>
        <v>#REF!</v>
      </c>
      <c r="C97" s="127"/>
      <c r="D97" s="127"/>
      <c r="E97" s="127"/>
      <c r="F97" s="128" t="e">
        <f>boqMezzanine</f>
        <v>#REF!</v>
      </c>
      <c r="H97" s="136"/>
    </row>
    <row r="98" spans="1:11" s="113" customFormat="1" x14ac:dyDescent="0.25">
      <c r="A98" s="127">
        <v>2</v>
      </c>
      <c r="B98" s="127" t="e">
        <f>A23</f>
        <v>#REF!</v>
      </c>
      <c r="C98" s="127"/>
      <c r="D98" s="127"/>
      <c r="E98" s="127"/>
      <c r="F98" s="128" t="e">
        <f>boqFirstFloor</f>
        <v>#REF!</v>
      </c>
      <c r="H98" s="136"/>
    </row>
    <row r="99" spans="1:11" s="113" customFormat="1" x14ac:dyDescent="0.25">
      <c r="A99" s="127">
        <v>3</v>
      </c>
      <c r="B99" s="127" t="e">
        <f>A32</f>
        <v>#REF!</v>
      </c>
      <c r="C99" s="127"/>
      <c r="D99" s="127"/>
      <c r="E99" s="127"/>
      <c r="F99" s="128" t="e">
        <f>boqSecondFloor</f>
        <v>#REF!</v>
      </c>
      <c r="H99" s="136"/>
    </row>
    <row r="100" spans="1:11" s="113" customFormat="1" x14ac:dyDescent="0.25">
      <c r="A100" s="127">
        <v>4</v>
      </c>
      <c r="B100" s="127" t="e">
        <f>A41</f>
        <v>#REF!</v>
      </c>
      <c r="C100" s="127"/>
      <c r="D100" s="127"/>
      <c r="E100" s="127"/>
      <c r="F100" s="128" t="e">
        <f>boqThirdFloor</f>
        <v>#REF!</v>
      </c>
      <c r="H100" s="136"/>
      <c r="J100" s="125"/>
    </row>
    <row r="101" spans="1:11" s="113" customFormat="1" x14ac:dyDescent="0.25">
      <c r="A101" s="127">
        <v>5</v>
      </c>
      <c r="B101" s="127" t="e">
        <f>A50</f>
        <v>#REF!</v>
      </c>
      <c r="C101" s="127"/>
      <c r="D101" s="127"/>
      <c r="E101" s="127"/>
      <c r="F101" s="128" t="e">
        <f>boqForthFloor</f>
        <v>#REF!</v>
      </c>
      <c r="H101" s="136"/>
    </row>
    <row r="102" spans="1:11" s="113" customFormat="1" x14ac:dyDescent="0.25">
      <c r="A102" s="127">
        <v>6</v>
      </c>
      <c r="B102" s="127" t="e">
        <f>A59</f>
        <v>#REF!</v>
      </c>
      <c r="C102" s="127"/>
      <c r="D102" s="127"/>
      <c r="E102" s="127"/>
      <c r="F102" s="128" t="e">
        <f>boqFifthFloor</f>
        <v>#REF!</v>
      </c>
      <c r="H102" s="139"/>
    </row>
    <row r="103" spans="1:11" s="113" customFormat="1" x14ac:dyDescent="0.25">
      <c r="A103" s="127">
        <v>7</v>
      </c>
      <c r="B103" s="127" t="e">
        <f>A68</f>
        <v>#REF!</v>
      </c>
      <c r="C103" s="127"/>
      <c r="D103" s="127"/>
      <c r="E103" s="127"/>
      <c r="F103" s="128" t="e">
        <f>boqSixthFloor</f>
        <v>#REF!</v>
      </c>
      <c r="H103" s="140"/>
    </row>
    <row r="104" spans="1:11" s="113" customFormat="1" x14ac:dyDescent="0.25">
      <c r="A104" s="127">
        <v>8</v>
      </c>
      <c r="B104" s="127" t="e">
        <f>A77</f>
        <v>#REF!</v>
      </c>
      <c r="C104" s="127"/>
      <c r="D104" s="127"/>
      <c r="E104" s="127"/>
      <c r="F104" s="128" t="e">
        <f>boqSeventhFloor</f>
        <v>#REF!</v>
      </c>
      <c r="H104" s="136"/>
    </row>
    <row r="105" spans="1:11" s="113" customFormat="1" x14ac:dyDescent="0.25">
      <c r="A105" s="127">
        <v>9</v>
      </c>
      <c r="B105" s="127" t="e">
        <f>A86</f>
        <v>#REF!</v>
      </c>
      <c r="C105" s="127"/>
      <c r="D105" s="127"/>
      <c r="E105" s="127"/>
      <c r="F105" s="128" t="e">
        <f>boqMainRoof</f>
        <v>#REF!</v>
      </c>
      <c r="H105" s="136"/>
    </row>
    <row r="106" spans="1:11" s="113" customFormat="1" ht="25.5" customHeight="1" x14ac:dyDescent="0.25">
      <c r="A106" s="127"/>
      <c r="B106" s="127"/>
      <c r="C106" s="127"/>
      <c r="D106" s="172" t="s">
        <v>42</v>
      </c>
      <c r="E106" s="174"/>
      <c r="F106" s="128" t="e">
        <f>SUM(F97:F105)</f>
        <v>#REF!</v>
      </c>
      <c r="H106" s="136"/>
    </row>
    <row r="107" spans="1:11" x14ac:dyDescent="0.25">
      <c r="A107" s="71"/>
      <c r="B107" s="71"/>
      <c r="C107" s="81"/>
      <c r="D107" s="71"/>
      <c r="E107" s="71"/>
      <c r="F107" s="71"/>
    </row>
    <row r="108" spans="1:11" s="113" customFormat="1" ht="27.75" customHeight="1" x14ac:dyDescent="0.25">
      <c r="A108" s="142"/>
      <c r="B108" s="143"/>
      <c r="C108" s="144"/>
      <c r="D108" s="145"/>
      <c r="E108" s="146" t="s">
        <v>19</v>
      </c>
      <c r="F108" s="147">
        <f>Summary!I27</f>
        <v>109450</v>
      </c>
      <c r="H108" s="139" t="s">
        <v>2</v>
      </c>
    </row>
    <row r="109" spans="1:11" s="113" customFormat="1" ht="27.75" customHeight="1" x14ac:dyDescent="0.25">
      <c r="A109" s="148"/>
      <c r="B109" s="149"/>
      <c r="C109" s="144"/>
      <c r="D109" s="150"/>
      <c r="E109" s="151" t="s">
        <v>44</v>
      </c>
      <c r="F109" s="147" t="e">
        <f>F106+F108</f>
        <v>#REF!</v>
      </c>
      <c r="H109" s="140">
        <f>Summary!I31</f>
        <v>976202.65397500014</v>
      </c>
      <c r="K109" s="125"/>
    </row>
  </sheetData>
  <mergeCells count="38">
    <mergeCell ref="A9:B9"/>
    <mergeCell ref="A1:F3"/>
    <mergeCell ref="A4:B4"/>
    <mergeCell ref="C4:F7"/>
    <mergeCell ref="A5:B5"/>
    <mergeCell ref="A6:B6"/>
    <mergeCell ref="C33:D33"/>
    <mergeCell ref="A10:B10"/>
    <mergeCell ref="A11:B11"/>
    <mergeCell ref="A12:B12"/>
    <mergeCell ref="A13:F13"/>
    <mergeCell ref="C14:D14"/>
    <mergeCell ref="A15:F15"/>
    <mergeCell ref="C22:E22"/>
    <mergeCell ref="A23:F23"/>
    <mergeCell ref="C24:D24"/>
    <mergeCell ref="C31:E31"/>
    <mergeCell ref="A32:F32"/>
    <mergeCell ref="C69:D69"/>
    <mergeCell ref="C40:E40"/>
    <mergeCell ref="A41:F41"/>
    <mergeCell ref="C42:D42"/>
    <mergeCell ref="C49:E49"/>
    <mergeCell ref="A50:F50"/>
    <mergeCell ref="C51:D51"/>
    <mergeCell ref="C58:E58"/>
    <mergeCell ref="A59:F59"/>
    <mergeCell ref="C60:D60"/>
    <mergeCell ref="C67:E67"/>
    <mergeCell ref="A68:F68"/>
    <mergeCell ref="C95:E95"/>
    <mergeCell ref="D106:E106"/>
    <mergeCell ref="C76:E76"/>
    <mergeCell ref="A77:F77"/>
    <mergeCell ref="C78:D78"/>
    <mergeCell ref="C85:E85"/>
    <mergeCell ref="A86:F86"/>
    <mergeCell ref="C87:D87"/>
  </mergeCells>
  <printOptions horizontalCentered="1"/>
  <pageMargins left="0.25" right="0.25" top="0.75" bottom="0.75" header="0.3" footer="0.3"/>
  <pageSetup paperSize="9" scale="75" fitToHeight="0" orientation="portrait" r:id="rId1"/>
  <headerFooter>
    <oddFooter>&amp;L&amp;8
&amp;C&amp;8&amp;P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0" tint="-0.249977111117893"/>
  </sheetPr>
  <dimension ref="A1:K32"/>
  <sheetViews>
    <sheetView workbookViewId="0"/>
  </sheetViews>
  <sheetFormatPr defaultColWidth="10.28515625" defaultRowHeight="15" x14ac:dyDescent="0.25"/>
  <cols>
    <col min="1" max="1" width="10.140625" style="1" bestFit="1" customWidth="1"/>
    <col min="2" max="2" width="6.85546875" style="1" bestFit="1" customWidth="1"/>
    <col min="3" max="3" width="51.85546875" style="1" bestFit="1" customWidth="1"/>
    <col min="4" max="5" width="12.5703125" style="1" bestFit="1" customWidth="1"/>
    <col min="6" max="6" width="14.28515625" style="1" bestFit="1" customWidth="1"/>
    <col min="7" max="7" width="10.42578125" style="1" bestFit="1" customWidth="1"/>
    <col min="8" max="8" width="12.5703125" style="1" customWidth="1"/>
    <col min="9" max="9" width="14.28515625" style="1" bestFit="1" customWidth="1"/>
    <col min="10" max="10" width="10.5703125" style="1" bestFit="1" customWidth="1"/>
    <col min="11" max="16384" width="10.28515625" style="1"/>
  </cols>
  <sheetData>
    <row r="1" spans="1:11" x14ac:dyDescent="0.25">
      <c r="A1" t="s">
        <v>0</v>
      </c>
      <c r="B1" t="s">
        <v>76</v>
      </c>
      <c r="C1"/>
    </row>
    <row r="2" spans="1:11" x14ac:dyDescent="0.25">
      <c r="A2" s="1" t="s">
        <v>1</v>
      </c>
      <c r="B2" t="s">
        <v>77</v>
      </c>
      <c r="C2"/>
    </row>
    <row r="4" spans="1:11" x14ac:dyDescent="0.25">
      <c r="G4" s="35">
        <v>0.3</v>
      </c>
    </row>
    <row r="5" spans="1:11" x14ac:dyDescent="0.25">
      <c r="C5" s="2" t="s">
        <v>2</v>
      </c>
      <c r="D5" s="2" t="s">
        <v>3</v>
      </c>
      <c r="E5" s="2" t="s">
        <v>4</v>
      </c>
      <c r="F5" s="2" t="s">
        <v>18</v>
      </c>
      <c r="G5" s="2" t="s">
        <v>5</v>
      </c>
      <c r="H5" s="2" t="s">
        <v>6</v>
      </c>
      <c r="I5" s="2" t="s">
        <v>7</v>
      </c>
    </row>
    <row r="6" spans="1:11" x14ac:dyDescent="0.25">
      <c r="C6" t="str">
        <f ca="1">'Flat Roofing'!B1</f>
        <v>Flat Roofing</v>
      </c>
      <c r="D6" s="3">
        <f>'Flat Roofing'!B2</f>
        <v>551047.01075000002</v>
      </c>
      <c r="E6" s="3">
        <f>'Flat Roofing'!B3</f>
        <v>115685.8</v>
      </c>
      <c r="F6" s="3">
        <f>D6+E6</f>
        <v>666732.81075000006</v>
      </c>
      <c r="G6" s="18">
        <f t="shared" ref="G6" si="0">$G$4</f>
        <v>0.3</v>
      </c>
      <c r="H6" s="3">
        <f t="shared" ref="H6" si="1">G6*F6</f>
        <v>200019.84322500002</v>
      </c>
      <c r="I6" s="3">
        <f t="shared" ref="I6" si="2">F6+H6</f>
        <v>866752.65397500014</v>
      </c>
      <c r="J6" s="3"/>
    </row>
    <row r="7" spans="1:11" x14ac:dyDescent="0.25">
      <c r="C7" s="11" t="s">
        <v>18</v>
      </c>
      <c r="D7" s="31">
        <f>SUM(D6:D6)</f>
        <v>551047.01075000002</v>
      </c>
      <c r="E7" s="31">
        <f>SUM(E6:E6)</f>
        <v>115685.8</v>
      </c>
      <c r="F7" s="31">
        <f>SUM(F6:F6)</f>
        <v>666732.81075000006</v>
      </c>
      <c r="G7" s="31"/>
      <c r="H7" s="31">
        <f>SUM(H6:H6)</f>
        <v>200019.84322500002</v>
      </c>
      <c r="I7" s="31">
        <f>SUM(I6:I6)</f>
        <v>866752.65397500014</v>
      </c>
      <c r="J7" s="31"/>
      <c r="K7" s="162"/>
    </row>
    <row r="8" spans="1:11" x14ac:dyDescent="0.25">
      <c r="C8"/>
      <c r="D8" s="3"/>
      <c r="E8" s="3"/>
      <c r="F8" s="3"/>
      <c r="G8" s="18"/>
      <c r="H8" s="3"/>
      <c r="I8" s="3"/>
      <c r="J8" s="3"/>
    </row>
    <row r="9" spans="1:11" x14ac:dyDescent="0.25">
      <c r="G9" s="2"/>
      <c r="H9" s="3"/>
      <c r="I9" s="3"/>
    </row>
    <row r="10" spans="1:11" x14ac:dyDescent="0.25">
      <c r="C10" s="4" t="s">
        <v>19</v>
      </c>
      <c r="G10" s="2"/>
      <c r="H10" s="3"/>
      <c r="I10" s="3"/>
    </row>
    <row r="11" spans="1:11" x14ac:dyDescent="0.25">
      <c r="C11"/>
      <c r="F11" s="78"/>
      <c r="G11" s="18"/>
      <c r="H11" s="3"/>
      <c r="I11" s="3"/>
    </row>
    <row r="12" spans="1:11" x14ac:dyDescent="0.25">
      <c r="C12" t="s">
        <v>99</v>
      </c>
      <c r="D12" t="s">
        <v>113</v>
      </c>
      <c r="E12" s="1">
        <v>1</v>
      </c>
      <c r="F12" s="78">
        <v>0</v>
      </c>
      <c r="G12" s="18">
        <v>0</v>
      </c>
      <c r="H12" s="3">
        <f>(E12*F12)*G12</f>
        <v>0</v>
      </c>
      <c r="I12" s="3">
        <f>(E12*F12)+H12</f>
        <v>0</v>
      </c>
      <c r="J12" t="s">
        <v>115</v>
      </c>
    </row>
    <row r="13" spans="1:11" x14ac:dyDescent="0.25">
      <c r="C13" t="s">
        <v>100</v>
      </c>
      <c r="D13" t="s">
        <v>113</v>
      </c>
      <c r="E13" s="1">
        <v>1</v>
      </c>
      <c r="F13" s="78">
        <v>0</v>
      </c>
      <c r="G13" s="18">
        <v>0</v>
      </c>
      <c r="H13" s="3">
        <f t="shared" ref="H13:H25" si="3">G13*F13</f>
        <v>0</v>
      </c>
      <c r="I13" s="3">
        <f t="shared" ref="I13:I25" si="4">(E13*F13)+H13</f>
        <v>0</v>
      </c>
      <c r="J13" t="s">
        <v>115</v>
      </c>
    </row>
    <row r="14" spans="1:11" x14ac:dyDescent="0.25">
      <c r="C14" t="s">
        <v>101</v>
      </c>
      <c r="D14" t="s">
        <v>113</v>
      </c>
      <c r="E14" s="1">
        <v>1</v>
      </c>
      <c r="F14" s="78">
        <v>1000</v>
      </c>
      <c r="G14" s="18">
        <v>0</v>
      </c>
      <c r="H14" s="3">
        <f t="shared" si="3"/>
        <v>0</v>
      </c>
      <c r="I14" s="3">
        <f t="shared" si="4"/>
        <v>1000</v>
      </c>
    </row>
    <row r="15" spans="1:11" x14ac:dyDescent="0.25">
      <c r="C15" t="s">
        <v>102</v>
      </c>
      <c r="D15" t="s">
        <v>114</v>
      </c>
      <c r="E15" s="1">
        <v>80</v>
      </c>
      <c r="F15" s="78">
        <v>275</v>
      </c>
      <c r="G15" s="18">
        <v>0</v>
      </c>
      <c r="H15" s="3">
        <f t="shared" si="3"/>
        <v>0</v>
      </c>
      <c r="I15" s="3">
        <f t="shared" si="4"/>
        <v>22000</v>
      </c>
    </row>
    <row r="16" spans="1:11" x14ac:dyDescent="0.25">
      <c r="C16" t="s">
        <v>103</v>
      </c>
      <c r="D16" t="s">
        <v>114</v>
      </c>
      <c r="E16" s="1">
        <v>80</v>
      </c>
      <c r="F16" s="78">
        <v>225</v>
      </c>
      <c r="G16" s="18">
        <v>0</v>
      </c>
      <c r="H16" s="3">
        <f t="shared" si="3"/>
        <v>0</v>
      </c>
      <c r="I16" s="3">
        <f t="shared" si="4"/>
        <v>18000</v>
      </c>
    </row>
    <row r="17" spans="3:10" x14ac:dyDescent="0.25">
      <c r="C17" t="s">
        <v>104</v>
      </c>
      <c r="D17" t="s">
        <v>114</v>
      </c>
      <c r="E17">
        <v>15</v>
      </c>
      <c r="F17" s="78">
        <v>4230</v>
      </c>
      <c r="G17" s="18">
        <v>0</v>
      </c>
      <c r="H17" s="3">
        <f t="shared" si="3"/>
        <v>0</v>
      </c>
      <c r="I17" s="3">
        <f t="shared" si="4"/>
        <v>63450</v>
      </c>
    </row>
    <row r="18" spans="3:10" x14ac:dyDescent="0.25">
      <c r="C18" t="s">
        <v>105</v>
      </c>
      <c r="D18" t="s">
        <v>113</v>
      </c>
      <c r="E18">
        <v>1</v>
      </c>
      <c r="F18" s="78">
        <v>0</v>
      </c>
      <c r="G18" s="18">
        <v>0</v>
      </c>
      <c r="H18" s="3">
        <f t="shared" si="3"/>
        <v>0</v>
      </c>
      <c r="I18" s="3">
        <f t="shared" si="4"/>
        <v>0</v>
      </c>
      <c r="J18" t="s">
        <v>115</v>
      </c>
    </row>
    <row r="19" spans="3:10" x14ac:dyDescent="0.25">
      <c r="C19" t="s">
        <v>106</v>
      </c>
      <c r="D19" t="s">
        <v>113</v>
      </c>
      <c r="E19">
        <v>1</v>
      </c>
      <c r="F19" s="78">
        <v>0</v>
      </c>
      <c r="G19" s="18">
        <v>0</v>
      </c>
      <c r="H19" s="3">
        <f t="shared" si="3"/>
        <v>0</v>
      </c>
      <c r="I19" s="3">
        <f t="shared" si="4"/>
        <v>0</v>
      </c>
      <c r="J19" t="s">
        <v>115</v>
      </c>
    </row>
    <row r="20" spans="3:10" x14ac:dyDescent="0.25">
      <c r="C20" t="s">
        <v>107</v>
      </c>
      <c r="D20" t="s">
        <v>114</v>
      </c>
      <c r="E20">
        <v>8</v>
      </c>
      <c r="F20" s="78">
        <v>625</v>
      </c>
      <c r="G20" s="18">
        <v>0</v>
      </c>
      <c r="H20" s="3">
        <f t="shared" si="3"/>
        <v>0</v>
      </c>
      <c r="I20" s="3">
        <f t="shared" si="4"/>
        <v>5000</v>
      </c>
    </row>
    <row r="21" spans="3:10" x14ac:dyDescent="0.25">
      <c r="C21" t="s">
        <v>108</v>
      </c>
      <c r="D21" t="s">
        <v>113</v>
      </c>
      <c r="E21">
        <v>1</v>
      </c>
      <c r="F21" s="78">
        <v>0</v>
      </c>
      <c r="G21" s="18">
        <v>0</v>
      </c>
      <c r="H21" s="3">
        <f t="shared" si="3"/>
        <v>0</v>
      </c>
      <c r="I21" s="3">
        <f t="shared" si="4"/>
        <v>0</v>
      </c>
      <c r="J21" t="s">
        <v>115</v>
      </c>
    </row>
    <row r="22" spans="3:10" x14ac:dyDescent="0.25">
      <c r="C22" t="s">
        <v>109</v>
      </c>
      <c r="D22" t="s">
        <v>113</v>
      </c>
      <c r="E22">
        <v>1</v>
      </c>
      <c r="F22" s="78">
        <v>0</v>
      </c>
      <c r="G22" s="18">
        <v>0</v>
      </c>
      <c r="H22" s="3">
        <f t="shared" si="3"/>
        <v>0</v>
      </c>
      <c r="I22" s="3">
        <f t="shared" si="4"/>
        <v>0</v>
      </c>
    </row>
    <row r="23" spans="3:10" x14ac:dyDescent="0.25">
      <c r="C23" t="s">
        <v>110</v>
      </c>
      <c r="D23" t="s">
        <v>113</v>
      </c>
      <c r="E23">
        <v>1</v>
      </c>
      <c r="F23" s="78">
        <v>0</v>
      </c>
      <c r="G23" s="18">
        <v>0</v>
      </c>
      <c r="H23" s="3">
        <f t="shared" si="3"/>
        <v>0</v>
      </c>
      <c r="I23" s="3">
        <f t="shared" si="4"/>
        <v>0</v>
      </c>
      <c r="J23" t="s">
        <v>115</v>
      </c>
    </row>
    <row r="24" spans="3:10" x14ac:dyDescent="0.25">
      <c r="C24" t="s">
        <v>111</v>
      </c>
      <c r="D24" t="s">
        <v>113</v>
      </c>
      <c r="E24">
        <v>1</v>
      </c>
      <c r="F24" s="78">
        <v>0</v>
      </c>
      <c r="G24" s="18">
        <v>0</v>
      </c>
      <c r="H24" s="3">
        <f t="shared" si="3"/>
        <v>0</v>
      </c>
      <c r="I24" s="3">
        <f t="shared" si="4"/>
        <v>0</v>
      </c>
      <c r="J24" t="s">
        <v>115</v>
      </c>
    </row>
    <row r="25" spans="3:10" x14ac:dyDescent="0.25">
      <c r="C25" t="s">
        <v>112</v>
      </c>
      <c r="D25" t="s">
        <v>113</v>
      </c>
      <c r="E25">
        <v>1</v>
      </c>
      <c r="F25" s="78">
        <v>0</v>
      </c>
      <c r="G25" s="18">
        <v>0</v>
      </c>
      <c r="H25" s="3">
        <f t="shared" si="3"/>
        <v>0</v>
      </c>
      <c r="I25" s="3">
        <f t="shared" si="4"/>
        <v>0</v>
      </c>
      <c r="J25" t="s">
        <v>115</v>
      </c>
    </row>
    <row r="26" spans="3:10" x14ac:dyDescent="0.25">
      <c r="C26"/>
      <c r="F26" s="3"/>
      <c r="G26" s="18"/>
      <c r="H26" s="3"/>
      <c r="I26" s="3"/>
    </row>
    <row r="27" spans="3:10" ht="15.75" thickBot="1" x14ac:dyDescent="0.3">
      <c r="C27" s="67" t="s">
        <v>20</v>
      </c>
      <c r="D27" s="68"/>
      <c r="E27" s="68"/>
      <c r="F27" s="69">
        <v>0</v>
      </c>
      <c r="G27" s="69"/>
      <c r="H27" s="69">
        <f>SUM(H11:H25)</f>
        <v>0</v>
      </c>
      <c r="I27" s="69">
        <f>SUM(I11:I25)</f>
        <v>109450</v>
      </c>
    </row>
    <row r="31" spans="3:10" ht="15.75" thickBot="1" x14ac:dyDescent="0.3">
      <c r="C31" s="11" t="s">
        <v>21</v>
      </c>
      <c r="H31" s="12">
        <f>H27+H7</f>
        <v>200019.84322500002</v>
      </c>
      <c r="I31" s="12">
        <f>I27+I7</f>
        <v>976202.65397500014</v>
      </c>
    </row>
    <row r="32" spans="3:10" ht="18" customHeight="1" thickTop="1" x14ac:dyDescent="0.25"/>
  </sheetData>
  <pageMargins left="0.7" right="0.7" top="0.75" bottom="0.75" header="0.3" footer="0.3"/>
  <pageSetup paperSize="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theme="0" tint="-0.249977111117893"/>
  </sheetPr>
  <dimension ref="A1:J83"/>
  <sheetViews>
    <sheetView workbookViewId="0"/>
  </sheetViews>
  <sheetFormatPr defaultRowHeight="15" x14ac:dyDescent="0.25"/>
  <cols>
    <col min="1" max="1" width="2.28515625" style="5" customWidth="1"/>
    <col min="2" max="2" width="39.5703125" bestFit="1" customWidth="1"/>
    <col min="3" max="3" width="105.5703125" bestFit="1" customWidth="1"/>
    <col min="4" max="4" width="10.140625" style="21" customWidth="1"/>
    <col min="5" max="5" width="9.28515625" customWidth="1"/>
    <col min="6" max="6" width="2.28515625" style="5" customWidth="1"/>
    <col min="7" max="7" width="9.28515625" style="21" customWidth="1"/>
    <col min="8" max="8" width="9.28515625" customWidth="1"/>
    <col min="9" max="9" width="2.28515625" style="5" customWidth="1"/>
  </cols>
  <sheetData>
    <row r="1" spans="1:10" ht="20.25" x14ac:dyDescent="0.25">
      <c r="B1" s="192" t="s">
        <v>86</v>
      </c>
      <c r="C1" s="193"/>
      <c r="D1" s="193"/>
      <c r="E1" s="193"/>
      <c r="F1" s="7"/>
      <c r="G1" s="194"/>
      <c r="H1" s="195"/>
    </row>
    <row r="2" spans="1:10" x14ac:dyDescent="0.25">
      <c r="A2" s="7"/>
      <c r="B2" s="6"/>
      <c r="C2" s="6"/>
      <c r="D2" s="20"/>
      <c r="E2" s="6"/>
      <c r="F2" s="7"/>
      <c r="G2" s="20"/>
      <c r="H2" s="6"/>
      <c r="I2" s="7"/>
      <c r="J2" s="6"/>
    </row>
    <row r="3" spans="1:10" ht="31.5" x14ac:dyDescent="0.5">
      <c r="A3" s="7"/>
      <c r="B3" s="153"/>
      <c r="C3" s="153"/>
      <c r="D3" s="196" t="s">
        <v>3</v>
      </c>
      <c r="E3" s="196"/>
      <c r="F3" s="7"/>
      <c r="G3" s="196" t="s">
        <v>4</v>
      </c>
      <c r="H3" s="196"/>
      <c r="I3" s="7"/>
    </row>
    <row r="4" spans="1:10" ht="31.5" x14ac:dyDescent="0.5">
      <c r="A4" s="7"/>
      <c r="B4" s="102"/>
      <c r="C4" s="102"/>
      <c r="D4" s="102"/>
      <c r="E4" s="6"/>
      <c r="F4" s="7"/>
      <c r="G4" s="102"/>
      <c r="H4" s="102"/>
      <c r="I4" s="7"/>
      <c r="J4" s="6"/>
    </row>
    <row r="5" spans="1:10" x14ac:dyDescent="0.25">
      <c r="A5" s="7"/>
      <c r="B5" s="190" t="s">
        <v>53</v>
      </c>
      <c r="C5" s="190"/>
      <c r="D5" s="154"/>
      <c r="E5" s="155"/>
      <c r="F5" s="7"/>
      <c r="G5" s="154"/>
      <c r="H5" s="156"/>
      <c r="I5" s="7"/>
      <c r="J5" s="6"/>
    </row>
    <row r="6" spans="1:10" x14ac:dyDescent="0.25">
      <c r="A6" s="7"/>
      <c r="B6" s="4"/>
      <c r="D6" s="43"/>
      <c r="F6" s="7"/>
      <c r="G6" s="43"/>
      <c r="H6" s="6"/>
      <c r="I6" s="7"/>
      <c r="J6" s="6"/>
    </row>
    <row r="7" spans="1:10" x14ac:dyDescent="0.25">
      <c r="A7" s="7"/>
      <c r="B7" s="4" t="s">
        <v>54</v>
      </c>
      <c r="C7" s="4" t="s">
        <v>72</v>
      </c>
      <c r="D7" s="43"/>
      <c r="F7" s="7"/>
      <c r="G7" s="43"/>
      <c r="H7" s="6"/>
      <c r="I7" s="7"/>
      <c r="J7" s="6"/>
    </row>
    <row r="8" spans="1:10" x14ac:dyDescent="0.25">
      <c r="A8" s="7"/>
      <c r="B8" t="s">
        <v>29</v>
      </c>
      <c r="C8" s="34" t="s">
        <v>75</v>
      </c>
      <c r="D8" s="28">
        <v>1.76</v>
      </c>
      <c r="F8" s="7"/>
      <c r="G8" s="28">
        <v>1</v>
      </c>
      <c r="H8" s="29"/>
      <c r="I8" s="7"/>
      <c r="J8" s="6"/>
    </row>
    <row r="9" spans="1:10" x14ac:dyDescent="0.25">
      <c r="A9" s="7"/>
      <c r="B9" s="33" t="s">
        <v>48</v>
      </c>
      <c r="C9" s="33" t="s">
        <v>79</v>
      </c>
      <c r="D9" s="28">
        <v>5.64</v>
      </c>
      <c r="G9" s="28">
        <v>4</v>
      </c>
      <c r="I9" s="7"/>
      <c r="J9" s="6"/>
    </row>
    <row r="10" spans="1:10" x14ac:dyDescent="0.25">
      <c r="A10" s="7"/>
      <c r="B10" s="33" t="s">
        <v>47</v>
      </c>
      <c r="C10" s="33" t="s">
        <v>79</v>
      </c>
      <c r="D10" s="28">
        <v>5.64</v>
      </c>
      <c r="G10" s="28">
        <v>4.5</v>
      </c>
      <c r="I10" s="7"/>
      <c r="J10" s="6"/>
    </row>
    <row r="11" spans="1:10" x14ac:dyDescent="0.25">
      <c r="A11" s="7"/>
      <c r="B11" s="33" t="s">
        <v>49</v>
      </c>
      <c r="C11" s="33" t="s">
        <v>80</v>
      </c>
      <c r="D11" s="28">
        <f>58.05/8</f>
        <v>7.2562499999999996</v>
      </c>
      <c r="F11" s="7"/>
      <c r="G11" s="28">
        <v>4.5</v>
      </c>
      <c r="I11" s="7"/>
      <c r="J11" s="6"/>
    </row>
    <row r="12" spans="1:10" x14ac:dyDescent="0.25">
      <c r="A12" s="7"/>
      <c r="C12" s="32" t="s">
        <v>55</v>
      </c>
      <c r="D12" s="31">
        <f>SUM(D8:D11)</f>
        <v>20.296250000000001</v>
      </c>
      <c r="E12" t="s">
        <v>37</v>
      </c>
      <c r="F12" s="7"/>
      <c r="G12" s="31">
        <f>SUM(G8:G11)</f>
        <v>14</v>
      </c>
      <c r="H12" t="s">
        <v>37</v>
      </c>
      <c r="I12" s="7"/>
      <c r="J12" s="6"/>
    </row>
    <row r="13" spans="1:10" s="33" customFormat="1" ht="45" customHeight="1" x14ac:dyDescent="0.25">
      <c r="A13" s="159"/>
      <c r="B13" s="160" t="s">
        <v>74</v>
      </c>
      <c r="C13" s="191" t="str">
        <f>CONCATENATE("To supply and install Moy Imper Paraflex on Main Roof Deck, including: ", $C$8, ", ", $C$9, ", ",, $C$10, ", ", $C$11)</f>
        <v>To supply and install Moy Imper Paraflex on Main Roof Deck, including: Impertene Bitumen Primer, Paraflex NT3/Base Sheet VCL (10m x 1m), Paraflex NT3/Base Sheet VCL (10m x 1m), Parflec ARD/S Bianco Reflecta Granular Cap Sheet (8m x 1m)</v>
      </c>
      <c r="D13" s="191"/>
      <c r="E13" s="191"/>
      <c r="F13" s="159"/>
      <c r="G13" s="161"/>
      <c r="H13" s="160"/>
      <c r="I13" s="159"/>
      <c r="J13" s="51"/>
    </row>
    <row r="14" spans="1:10" x14ac:dyDescent="0.25">
      <c r="A14" s="7"/>
      <c r="C14" s="30"/>
      <c r="D14" s="10"/>
      <c r="F14" s="7"/>
      <c r="G14" s="10"/>
      <c r="H14" s="6"/>
      <c r="I14" s="7"/>
      <c r="J14" s="6"/>
    </row>
    <row r="15" spans="1:10" x14ac:dyDescent="0.25">
      <c r="A15" s="7"/>
      <c r="B15" s="190" t="s">
        <v>92</v>
      </c>
      <c r="C15" s="190"/>
      <c r="D15" s="154"/>
      <c r="E15" s="155"/>
      <c r="F15" s="7"/>
      <c r="G15" s="154"/>
      <c r="H15" s="156"/>
      <c r="I15" s="7"/>
      <c r="J15" s="6"/>
    </row>
    <row r="16" spans="1:10" x14ac:dyDescent="0.25">
      <c r="A16" s="7"/>
      <c r="B16" s="27"/>
      <c r="C16" s="27"/>
      <c r="D16" s="43"/>
      <c r="F16" s="7"/>
      <c r="G16" s="43"/>
      <c r="H16" s="6"/>
      <c r="I16" s="7"/>
      <c r="J16" s="6"/>
    </row>
    <row r="17" spans="1:10" x14ac:dyDescent="0.25">
      <c r="A17" s="7"/>
      <c r="B17" s="4" t="s">
        <v>54</v>
      </c>
      <c r="C17" s="4"/>
      <c r="D17" s="43"/>
      <c r="F17" s="7"/>
      <c r="G17" s="43"/>
      <c r="H17" s="6"/>
      <c r="I17" s="7"/>
      <c r="J17" s="6"/>
    </row>
    <row r="18" spans="1:10" x14ac:dyDescent="0.25">
      <c r="A18" s="7"/>
      <c r="B18" t="s">
        <v>29</v>
      </c>
      <c r="C18" s="34" t="s">
        <v>89</v>
      </c>
      <c r="D18" s="28">
        <v>0</v>
      </c>
      <c r="F18" s="7"/>
      <c r="G18" s="28">
        <v>0</v>
      </c>
      <c r="H18" s="29"/>
      <c r="I18" s="7"/>
    </row>
    <row r="19" spans="1:10" x14ac:dyDescent="0.25">
      <c r="A19" s="7"/>
      <c r="B19" s="33"/>
      <c r="C19" s="33" t="s">
        <v>90</v>
      </c>
      <c r="D19" s="28">
        <v>0</v>
      </c>
      <c r="G19" s="28">
        <v>0</v>
      </c>
      <c r="I19" s="7"/>
      <c r="J19" s="6"/>
    </row>
    <row r="20" spans="1:10" x14ac:dyDescent="0.25">
      <c r="A20" s="7"/>
      <c r="B20" s="33"/>
      <c r="C20" s="33" t="s">
        <v>91</v>
      </c>
      <c r="D20" s="28">
        <v>0</v>
      </c>
      <c r="G20" s="28">
        <v>0</v>
      </c>
      <c r="I20" s="7"/>
      <c r="J20" s="6"/>
    </row>
    <row r="21" spans="1:10" x14ac:dyDescent="0.25">
      <c r="A21" s="7"/>
      <c r="C21" s="32" t="s">
        <v>55</v>
      </c>
      <c r="D21" s="31">
        <v>42.33</v>
      </c>
      <c r="E21" t="s">
        <v>93</v>
      </c>
      <c r="F21" s="7"/>
      <c r="G21" s="31">
        <v>37</v>
      </c>
      <c r="H21" t="s">
        <v>93</v>
      </c>
      <c r="I21" s="7"/>
      <c r="J21" s="169" t="s">
        <v>116</v>
      </c>
    </row>
    <row r="22" spans="1:10" x14ac:dyDescent="0.25">
      <c r="A22" s="7"/>
      <c r="C22" s="32"/>
      <c r="D22" s="164"/>
      <c r="F22" s="7"/>
      <c r="G22" s="164"/>
      <c r="I22" s="7"/>
      <c r="J22" s="6"/>
    </row>
    <row r="23" spans="1:10" s="33" customFormat="1" ht="45" customHeight="1" x14ac:dyDescent="0.25">
      <c r="A23" s="159"/>
      <c r="B23" s="160" t="s">
        <v>74</v>
      </c>
      <c r="C23" s="191" t="str">
        <f xml:space="preserve"> CONCATENATE("To supply and install Waterproofing System on Post Tops, including: ", $C$18, ", ", $C$20, ", ",$C$19)</f>
        <v>To supply and install Waterproofing System on Post Tops, including: Enke Universal Primer 2K Gebindest Komp, Enke P/Ester Fleese, Enkopur Silver</v>
      </c>
      <c r="D23" s="191"/>
      <c r="E23" s="191"/>
      <c r="F23" s="159"/>
      <c r="G23" s="161"/>
      <c r="H23" s="160"/>
      <c r="I23" s="159"/>
      <c r="J23" s="51"/>
    </row>
    <row r="24" spans="1:10" x14ac:dyDescent="0.25">
      <c r="A24" s="7"/>
      <c r="C24" s="30"/>
      <c r="D24" s="10"/>
      <c r="F24" s="7"/>
      <c r="G24" s="10"/>
      <c r="H24" s="6"/>
      <c r="I24" s="7"/>
      <c r="J24" s="6"/>
    </row>
    <row r="25" spans="1:10" x14ac:dyDescent="0.25">
      <c r="C25" s="32"/>
      <c r="D25"/>
      <c r="F25" s="7"/>
      <c r="G25" s="6"/>
      <c r="H25" s="6"/>
    </row>
    <row r="26" spans="1:10" x14ac:dyDescent="0.25">
      <c r="A26" s="7"/>
      <c r="B26" s="190" t="s">
        <v>56</v>
      </c>
      <c r="C26" s="190"/>
      <c r="D26" s="154"/>
      <c r="E26" s="155"/>
      <c r="F26" s="7"/>
      <c r="G26" s="154"/>
      <c r="H26" s="156"/>
      <c r="I26" s="7"/>
      <c r="J26" s="6"/>
    </row>
    <row r="27" spans="1:10" x14ac:dyDescent="0.25">
      <c r="A27" s="7"/>
      <c r="C27" s="30"/>
      <c r="D27" s="10"/>
      <c r="F27" s="7"/>
      <c r="G27" s="10"/>
      <c r="H27" s="6"/>
      <c r="I27" s="7"/>
      <c r="J27" s="6"/>
    </row>
    <row r="28" spans="1:10" x14ac:dyDescent="0.25">
      <c r="A28" s="7"/>
      <c r="B28" s="4" t="s">
        <v>63</v>
      </c>
      <c r="C28" s="30"/>
      <c r="D28" s="10"/>
      <c r="F28" s="7"/>
      <c r="G28" s="10"/>
      <c r="H28" s="6"/>
      <c r="I28" s="7"/>
      <c r="J28" s="6"/>
    </row>
    <row r="29" spans="1:10" x14ac:dyDescent="0.25">
      <c r="A29" s="7"/>
      <c r="B29" s="33"/>
      <c r="C29" s="33" t="s">
        <v>81</v>
      </c>
      <c r="D29" s="28">
        <v>3.6</v>
      </c>
      <c r="F29" s="7"/>
      <c r="G29" s="28">
        <v>2</v>
      </c>
      <c r="H29" s="6"/>
      <c r="I29" s="7"/>
      <c r="J29" s="6"/>
    </row>
    <row r="30" spans="1:10" x14ac:dyDescent="0.25">
      <c r="A30" s="7"/>
      <c r="B30" t="s">
        <v>62</v>
      </c>
      <c r="C30" s="33" t="s">
        <v>50</v>
      </c>
      <c r="D30" s="28">
        <v>182.32</v>
      </c>
      <c r="F30" s="7"/>
      <c r="G30" s="28">
        <v>2</v>
      </c>
      <c r="H30" s="6"/>
      <c r="I30" s="7"/>
      <c r="J30" s="6"/>
    </row>
    <row r="31" spans="1:10" x14ac:dyDescent="0.25">
      <c r="A31" s="7"/>
      <c r="B31" s="33"/>
      <c r="C31" s="33" t="s">
        <v>81</v>
      </c>
      <c r="D31" s="28">
        <v>3.6</v>
      </c>
      <c r="F31" s="7"/>
      <c r="G31" s="28">
        <v>2</v>
      </c>
      <c r="H31" s="6"/>
      <c r="I31" s="7"/>
      <c r="J31" s="6"/>
    </row>
    <row r="32" spans="1:10" x14ac:dyDescent="0.25">
      <c r="A32" s="7"/>
      <c r="B32" t="s">
        <v>85</v>
      </c>
      <c r="C32" t="s">
        <v>84</v>
      </c>
      <c r="D32" s="28">
        <v>16</v>
      </c>
      <c r="F32" s="7"/>
      <c r="G32" s="28">
        <v>2</v>
      </c>
      <c r="H32" s="6"/>
      <c r="I32" s="7"/>
      <c r="J32" s="6"/>
    </row>
    <row r="33" spans="1:10" x14ac:dyDescent="0.25">
      <c r="A33" s="7"/>
      <c r="C33" s="32" t="s">
        <v>55</v>
      </c>
      <c r="D33" s="31">
        <f>SUM(D29:D32)</f>
        <v>205.51999999999998</v>
      </c>
      <c r="E33" t="s">
        <v>37</v>
      </c>
      <c r="F33" s="7"/>
      <c r="G33" s="31">
        <f>SUM(G29:G32)</f>
        <v>8</v>
      </c>
      <c r="H33" t="s">
        <v>37</v>
      </c>
      <c r="I33" s="7"/>
      <c r="J33" s="6"/>
    </row>
    <row r="34" spans="1:10" s="33" customFormat="1" ht="45" customHeight="1" x14ac:dyDescent="0.25">
      <c r="A34" s="159"/>
      <c r="B34" s="160" t="s">
        <v>74</v>
      </c>
      <c r="C34" s="191" t="str">
        <f>CONCATENATE("Tapered Insulation System including: ",$C$29,", ", $C$30,", ",$C$31, ", ",$C$32)</f>
        <v xml:space="preserve">Tapered Insulation System including: Oxidised Bitumen Type 95/25, Paratherm T - Tapered, Oxidised Bitumen Type 95/25, Knauf Aquapanel Cement Board </v>
      </c>
      <c r="D34" s="191"/>
      <c r="E34" s="191"/>
      <c r="F34" s="159"/>
      <c r="G34" s="161"/>
      <c r="H34" s="160"/>
      <c r="I34" s="159"/>
      <c r="J34" s="51"/>
    </row>
    <row r="35" spans="1:10" x14ac:dyDescent="0.25">
      <c r="A35" s="7"/>
      <c r="C35" s="30"/>
      <c r="D35" s="10"/>
      <c r="F35" s="7"/>
      <c r="G35" s="10"/>
      <c r="H35" s="6"/>
      <c r="I35" s="7"/>
      <c r="J35" s="6"/>
    </row>
    <row r="36" spans="1:10" x14ac:dyDescent="0.25">
      <c r="A36" s="7"/>
      <c r="B36" s="4" t="s">
        <v>117</v>
      </c>
      <c r="C36" s="30"/>
      <c r="D36" s="10"/>
      <c r="F36" s="7"/>
      <c r="G36" s="10"/>
      <c r="H36" s="6"/>
      <c r="I36" s="7"/>
      <c r="J36" s="6"/>
    </row>
    <row r="37" spans="1:10" x14ac:dyDescent="0.25">
      <c r="A37" s="7"/>
      <c r="B37" s="33"/>
      <c r="C37" s="33" t="s">
        <v>81</v>
      </c>
      <c r="D37" s="28">
        <v>3.6</v>
      </c>
      <c r="F37" s="7"/>
      <c r="G37" s="28">
        <v>2</v>
      </c>
      <c r="H37" s="6"/>
      <c r="I37" s="7"/>
      <c r="J37" s="6"/>
    </row>
    <row r="38" spans="1:10" x14ac:dyDescent="0.25">
      <c r="A38" s="7"/>
      <c r="B38" t="s">
        <v>62</v>
      </c>
      <c r="C38" s="103" t="s">
        <v>82</v>
      </c>
      <c r="D38" s="28">
        <v>49.9</v>
      </c>
      <c r="F38" s="7"/>
      <c r="G38" s="28">
        <v>2</v>
      </c>
      <c r="H38" s="6"/>
      <c r="I38" s="7"/>
      <c r="J38" s="6"/>
    </row>
    <row r="39" spans="1:10" x14ac:dyDescent="0.25">
      <c r="A39" s="7"/>
      <c r="B39" s="33"/>
      <c r="C39" s="33" t="s">
        <v>81</v>
      </c>
      <c r="D39" s="28">
        <v>3.6</v>
      </c>
      <c r="F39" s="7"/>
      <c r="G39" s="28">
        <v>2</v>
      </c>
      <c r="H39" s="6"/>
      <c r="I39" s="7"/>
      <c r="J39" s="6"/>
    </row>
    <row r="40" spans="1:10" x14ac:dyDescent="0.25">
      <c r="A40" s="7"/>
      <c r="B40" t="s">
        <v>62</v>
      </c>
      <c r="C40" s="103" t="s">
        <v>83</v>
      </c>
      <c r="D40" s="28">
        <v>24.6</v>
      </c>
      <c r="F40" s="7"/>
      <c r="G40" s="28">
        <v>2</v>
      </c>
      <c r="H40" s="6"/>
      <c r="I40" s="7"/>
      <c r="J40" s="6"/>
    </row>
    <row r="41" spans="1:10" x14ac:dyDescent="0.25">
      <c r="A41" s="7"/>
      <c r="B41" t="s">
        <v>85</v>
      </c>
      <c r="C41" t="s">
        <v>84</v>
      </c>
      <c r="D41" s="28">
        <v>16</v>
      </c>
      <c r="F41" s="7"/>
      <c r="G41" s="28">
        <v>2</v>
      </c>
      <c r="H41" s="6"/>
      <c r="I41" s="7"/>
      <c r="J41" s="6"/>
    </row>
    <row r="42" spans="1:10" x14ac:dyDescent="0.25">
      <c r="A42" s="7"/>
      <c r="C42" s="32" t="s">
        <v>55</v>
      </c>
      <c r="D42" s="31">
        <f>SUM(D37:D41)</f>
        <v>97.7</v>
      </c>
      <c r="E42" t="s">
        <v>37</v>
      </c>
      <c r="F42" s="7"/>
      <c r="G42" s="31">
        <f>SUM(G37:G41)</f>
        <v>10</v>
      </c>
      <c r="H42" t="s">
        <v>37</v>
      </c>
      <c r="I42" s="7"/>
      <c r="J42" s="6"/>
    </row>
    <row r="43" spans="1:10" s="33" customFormat="1" ht="45" customHeight="1" x14ac:dyDescent="0.25">
      <c r="A43" s="159"/>
      <c r="B43" s="160" t="s">
        <v>74</v>
      </c>
      <c r="C43" s="191" t="str">
        <f>CONCATENATE("Insulation System to Main Deck: ", $C$38," on and including ",  $C$37, ", ", $C$40, ", ", $C$39, ", ",$C$41)</f>
        <v xml:space="preserve">Insulation System to Main Deck: Rockwool Hardwood Multi-Fix 150mm on and including Oxidised Bitumen Type 95/25, Rockwool Hardwood Multi-Fix 60mm, Oxidised Bitumen Type 95/25, Knauf Aquapanel Cement Board </v>
      </c>
      <c r="D43" s="191"/>
      <c r="E43" s="191"/>
      <c r="F43" s="159"/>
      <c r="G43" s="161"/>
      <c r="H43" s="160"/>
      <c r="I43" s="159"/>
      <c r="J43" s="51"/>
    </row>
    <row r="44" spans="1:10" x14ac:dyDescent="0.25">
      <c r="A44" s="7"/>
      <c r="D44" s="43"/>
      <c r="F44" s="7"/>
      <c r="G44" s="43"/>
      <c r="H44" s="6"/>
      <c r="I44" s="7"/>
      <c r="J44" s="6"/>
    </row>
    <row r="45" spans="1:10" x14ac:dyDescent="0.25">
      <c r="A45" s="7"/>
      <c r="B45" s="190" t="s">
        <v>57</v>
      </c>
      <c r="C45" s="190"/>
      <c r="D45" s="154"/>
      <c r="E45" s="155"/>
      <c r="F45" s="7"/>
      <c r="G45" s="154"/>
      <c r="H45" s="156"/>
      <c r="I45" s="7"/>
      <c r="J45" s="6"/>
    </row>
    <row r="46" spans="1:10" x14ac:dyDescent="0.25">
      <c r="A46" s="7"/>
      <c r="B46" s="4"/>
      <c r="D46" s="43"/>
      <c r="F46" s="7"/>
      <c r="G46" s="43"/>
      <c r="H46" s="6"/>
      <c r="I46" s="7"/>
      <c r="J46" s="6"/>
    </row>
    <row r="47" spans="1:10" x14ac:dyDescent="0.25">
      <c r="A47" s="7"/>
      <c r="B47" s="4" t="s">
        <v>59</v>
      </c>
      <c r="D47" s="43"/>
      <c r="F47" s="7"/>
      <c r="G47" s="43"/>
      <c r="H47" s="6"/>
      <c r="I47" s="7"/>
      <c r="J47" s="6"/>
    </row>
    <row r="48" spans="1:10" x14ac:dyDescent="0.25">
      <c r="A48" s="7"/>
      <c r="B48" t="s">
        <v>29</v>
      </c>
      <c r="C48" s="34" t="s">
        <v>75</v>
      </c>
      <c r="D48" s="28">
        <v>1.76</v>
      </c>
      <c r="F48" s="7"/>
      <c r="G48" s="28">
        <v>1</v>
      </c>
      <c r="H48" s="29"/>
      <c r="I48" s="7"/>
      <c r="J48" s="6"/>
    </row>
    <row r="49" spans="1:10" x14ac:dyDescent="0.25">
      <c r="A49" s="7"/>
      <c r="B49" s="33" t="s">
        <v>48</v>
      </c>
      <c r="C49" s="33" t="s">
        <v>79</v>
      </c>
      <c r="D49" s="28">
        <v>5.64</v>
      </c>
      <c r="G49" s="28">
        <v>4</v>
      </c>
      <c r="I49" s="7"/>
      <c r="J49" s="6"/>
    </row>
    <row r="50" spans="1:10" x14ac:dyDescent="0.25">
      <c r="A50" s="7"/>
      <c r="B50" s="33" t="s">
        <v>47</v>
      </c>
      <c r="C50" s="33" t="s">
        <v>79</v>
      </c>
      <c r="D50" s="28">
        <v>5.64</v>
      </c>
      <c r="G50" s="28">
        <v>4.5</v>
      </c>
      <c r="I50" s="7"/>
      <c r="J50" s="6"/>
    </row>
    <row r="51" spans="1:10" x14ac:dyDescent="0.25">
      <c r="A51" s="7"/>
      <c r="B51" s="33" t="s">
        <v>49</v>
      </c>
      <c r="C51" s="33" t="s">
        <v>80</v>
      </c>
      <c r="D51" s="28">
        <f>58.05/8</f>
        <v>7.2562499999999996</v>
      </c>
      <c r="F51" s="7"/>
      <c r="G51" s="28">
        <v>4.5</v>
      </c>
      <c r="I51" s="7"/>
      <c r="J51" s="6"/>
    </row>
    <row r="52" spans="1:10" x14ac:dyDescent="0.25">
      <c r="A52" s="7"/>
      <c r="C52" s="32" t="s">
        <v>55</v>
      </c>
      <c r="D52" s="31">
        <f>SUM(D48:D51)</f>
        <v>20.296250000000001</v>
      </c>
      <c r="E52" t="s">
        <v>37</v>
      </c>
      <c r="F52" s="7"/>
      <c r="G52" s="31">
        <f>SUM(G48:G51)</f>
        <v>14</v>
      </c>
      <c r="H52" t="s">
        <v>37</v>
      </c>
      <c r="I52" s="7"/>
      <c r="J52" s="6"/>
    </row>
    <row r="53" spans="1:10" s="33" customFormat="1" ht="45" customHeight="1" x14ac:dyDescent="0.25">
      <c r="A53" s="159"/>
      <c r="B53" s="160" t="s">
        <v>74</v>
      </c>
      <c r="C53" s="191" t="str">
        <f>CONCATENATE($C$48, ", ", $C$49, ", ", $C$50, ", ",$C$51)</f>
        <v>Impertene Bitumen Primer, Paraflex NT3/Base Sheet VCL (10m x 1m), Paraflex NT3/Base Sheet VCL (10m x 1m), Parflec ARD/S Bianco Reflecta Granular Cap Sheet (8m x 1m)</v>
      </c>
      <c r="D53" s="191"/>
      <c r="E53" s="191"/>
      <c r="F53" s="159"/>
      <c r="G53" s="161"/>
      <c r="H53" s="160"/>
      <c r="I53" s="159"/>
      <c r="J53" s="51"/>
    </row>
    <row r="54" spans="1:10" x14ac:dyDescent="0.25">
      <c r="A54" s="7"/>
      <c r="C54" s="30"/>
      <c r="D54" s="10"/>
      <c r="F54" s="7"/>
      <c r="G54" s="10"/>
      <c r="H54" s="6"/>
      <c r="I54" s="7"/>
      <c r="J54" s="6"/>
    </row>
    <row r="55" spans="1:10" x14ac:dyDescent="0.25">
      <c r="A55" s="7"/>
      <c r="B55" s="190" t="s">
        <v>87</v>
      </c>
      <c r="C55" s="190"/>
      <c r="D55" s="154"/>
      <c r="E55" s="155"/>
      <c r="F55" s="7"/>
      <c r="G55" s="154"/>
      <c r="H55" s="156"/>
      <c r="I55" s="7"/>
      <c r="J55" s="6"/>
    </row>
    <row r="56" spans="1:10" x14ac:dyDescent="0.25">
      <c r="A56" s="7"/>
      <c r="C56" s="30"/>
      <c r="D56" s="10"/>
      <c r="F56" s="7"/>
      <c r="G56" s="10"/>
      <c r="H56" s="6"/>
      <c r="I56" s="7"/>
      <c r="J56" s="6"/>
    </row>
    <row r="57" spans="1:10" x14ac:dyDescent="0.25">
      <c r="A57" s="7"/>
      <c r="B57" s="4" t="s">
        <v>63</v>
      </c>
      <c r="C57" s="30"/>
      <c r="D57" s="10"/>
      <c r="F57" s="7"/>
      <c r="G57" s="10"/>
      <c r="H57" s="6"/>
      <c r="I57" s="7"/>
      <c r="J57" s="6"/>
    </row>
    <row r="58" spans="1:10" x14ac:dyDescent="0.25">
      <c r="A58" s="7"/>
      <c r="B58" s="33"/>
      <c r="C58" s="33" t="s">
        <v>81</v>
      </c>
      <c r="D58" s="28">
        <v>3.6</v>
      </c>
      <c r="F58" s="7"/>
      <c r="G58" s="28">
        <v>2</v>
      </c>
      <c r="H58" s="6"/>
      <c r="I58" s="7"/>
      <c r="J58" s="6"/>
    </row>
    <row r="59" spans="1:10" x14ac:dyDescent="0.25">
      <c r="A59" s="7"/>
      <c r="B59" t="s">
        <v>62</v>
      </c>
      <c r="C59" s="103" t="s">
        <v>82</v>
      </c>
      <c r="D59" s="28">
        <v>49.9</v>
      </c>
      <c r="F59" s="7"/>
      <c r="G59" s="28">
        <v>2</v>
      </c>
      <c r="H59" s="6"/>
      <c r="I59" s="7"/>
      <c r="J59" s="6"/>
    </row>
    <row r="60" spans="1:10" x14ac:dyDescent="0.25">
      <c r="A60" s="7"/>
      <c r="C60" s="32" t="s">
        <v>55</v>
      </c>
      <c r="D60" s="31">
        <f>SUM(D58:D59)</f>
        <v>53.5</v>
      </c>
      <c r="E60" t="s">
        <v>37</v>
      </c>
      <c r="F60" s="7"/>
      <c r="G60" s="31">
        <f>SUM(G58:G59)</f>
        <v>4</v>
      </c>
      <c r="H60" t="s">
        <v>37</v>
      </c>
      <c r="I60" s="7"/>
      <c r="J60" s="6"/>
    </row>
    <row r="61" spans="1:10" x14ac:dyDescent="0.25">
      <c r="A61" s="7"/>
      <c r="C61" s="32"/>
      <c r="D61" s="164"/>
      <c r="F61" s="7"/>
      <c r="G61" s="164"/>
      <c r="I61" s="7"/>
      <c r="J61" s="6"/>
    </row>
    <row r="62" spans="1:10" s="33" customFormat="1" ht="45" customHeight="1" x14ac:dyDescent="0.25">
      <c r="A62" s="159"/>
      <c r="B62" s="160" t="s">
        <v>74</v>
      </c>
      <c r="C62" s="191" t="str">
        <f>CONCATENATE("Upstand Insulation System: ", $C$58,", ",  $C$59)</f>
        <v>Upstand Insulation System: Oxidised Bitumen Type 95/25, Rockwool Hardwood Multi-Fix 150mm</v>
      </c>
      <c r="D62" s="191"/>
      <c r="E62" s="191"/>
      <c r="F62" s="159"/>
      <c r="G62" s="161"/>
      <c r="H62" s="160"/>
      <c r="I62" s="159"/>
      <c r="J62" s="51"/>
    </row>
    <row r="63" spans="1:10" x14ac:dyDescent="0.25">
      <c r="D63" s="43"/>
      <c r="F63" s="7"/>
      <c r="G63" s="43"/>
      <c r="H63" s="6"/>
      <c r="J63" s="6"/>
    </row>
    <row r="64" spans="1:10" x14ac:dyDescent="0.25">
      <c r="A64" s="7"/>
      <c r="B64" s="190" t="s">
        <v>95</v>
      </c>
      <c r="C64" s="190"/>
      <c r="D64" s="154"/>
      <c r="E64" s="155"/>
      <c r="F64" s="7"/>
      <c r="G64" s="154"/>
      <c r="H64" s="156"/>
      <c r="I64" s="7"/>
    </row>
    <row r="65" spans="1:10" x14ac:dyDescent="0.25">
      <c r="A65" s="7"/>
      <c r="B65" s="4"/>
      <c r="D65" s="43"/>
      <c r="F65" s="7"/>
      <c r="G65" s="43"/>
      <c r="H65" s="6"/>
      <c r="I65" s="7"/>
      <c r="J65" s="6"/>
    </row>
    <row r="66" spans="1:10" x14ac:dyDescent="0.25">
      <c r="A66" s="7"/>
      <c r="B66" s="4" t="s">
        <v>96</v>
      </c>
      <c r="D66" s="43"/>
      <c r="F66" s="7"/>
      <c r="G66" s="43"/>
      <c r="H66" s="6"/>
      <c r="I66" s="7"/>
      <c r="J66" s="6"/>
    </row>
    <row r="67" spans="1:10" x14ac:dyDescent="0.25">
      <c r="A67" s="7"/>
      <c r="B67" t="s">
        <v>29</v>
      </c>
      <c r="C67" s="34" t="s">
        <v>75</v>
      </c>
      <c r="D67" s="28">
        <v>1.76</v>
      </c>
      <c r="F67" s="7"/>
      <c r="G67" s="28">
        <v>0</v>
      </c>
      <c r="H67" s="29"/>
      <c r="I67" s="7"/>
      <c r="J67" s="6"/>
    </row>
    <row r="68" spans="1:10" x14ac:dyDescent="0.25">
      <c r="A68" s="7"/>
      <c r="B68" s="33" t="s">
        <v>48</v>
      </c>
      <c r="C68" s="33" t="s">
        <v>79</v>
      </c>
      <c r="D68" s="28">
        <v>0</v>
      </c>
      <c r="G68" s="28">
        <v>0</v>
      </c>
      <c r="I68" s="7"/>
      <c r="J68" s="6"/>
    </row>
    <row r="69" spans="1:10" x14ac:dyDescent="0.25">
      <c r="A69" s="7"/>
      <c r="B69" s="33"/>
      <c r="C69" s="33" t="s">
        <v>81</v>
      </c>
      <c r="D69" s="28">
        <v>0</v>
      </c>
      <c r="F69" s="7"/>
      <c r="G69" s="28">
        <v>0</v>
      </c>
      <c r="H69" s="6"/>
      <c r="I69" s="7"/>
      <c r="J69" s="6"/>
    </row>
    <row r="70" spans="1:10" x14ac:dyDescent="0.25">
      <c r="A70" s="7"/>
      <c r="B70" t="s">
        <v>62</v>
      </c>
      <c r="C70" s="103" t="s">
        <v>83</v>
      </c>
      <c r="D70" s="28">
        <v>0</v>
      </c>
      <c r="F70" s="7"/>
      <c r="G70" s="28">
        <v>0</v>
      </c>
      <c r="H70" s="6"/>
      <c r="I70" s="7"/>
      <c r="J70" s="6"/>
    </row>
    <row r="71" spans="1:10" x14ac:dyDescent="0.25">
      <c r="A71" s="7"/>
      <c r="B71" s="33" t="s">
        <v>47</v>
      </c>
      <c r="C71" s="33" t="s">
        <v>79</v>
      </c>
      <c r="D71" s="28">
        <v>0</v>
      </c>
      <c r="G71" s="28">
        <v>0</v>
      </c>
      <c r="I71" s="7"/>
      <c r="J71" s="6"/>
    </row>
    <row r="72" spans="1:10" x14ac:dyDescent="0.25">
      <c r="A72" s="7"/>
      <c r="B72" s="33" t="s">
        <v>49</v>
      </c>
      <c r="C72" s="33" t="s">
        <v>80</v>
      </c>
      <c r="D72" s="28">
        <v>0</v>
      </c>
      <c r="F72" s="7"/>
      <c r="G72" s="28">
        <v>0</v>
      </c>
      <c r="I72" s="7"/>
      <c r="J72" s="6"/>
    </row>
    <row r="73" spans="1:10" x14ac:dyDescent="0.25">
      <c r="A73" s="7"/>
      <c r="C73" s="32" t="s">
        <v>55</v>
      </c>
      <c r="D73" s="31">
        <v>48.5</v>
      </c>
      <c r="E73" t="s">
        <v>93</v>
      </c>
      <c r="F73" s="7"/>
      <c r="G73" s="31">
        <v>14</v>
      </c>
      <c r="H73" t="s">
        <v>93</v>
      </c>
      <c r="I73" s="7"/>
      <c r="J73" s="169" t="s">
        <v>116</v>
      </c>
    </row>
    <row r="74" spans="1:10" x14ac:dyDescent="0.25">
      <c r="A74" s="7"/>
      <c r="C74" s="32"/>
      <c r="D74" s="164"/>
      <c r="F74" s="7"/>
      <c r="G74" s="164"/>
      <c r="I74" s="7"/>
      <c r="J74" s="6"/>
    </row>
    <row r="75" spans="1:10" s="33" customFormat="1" ht="45" customHeight="1" x14ac:dyDescent="0.25">
      <c r="A75" s="159"/>
      <c r="B75" s="160" t="s">
        <v>74</v>
      </c>
      <c r="C75" s="191" t="str">
        <f>CONCATENATE("To supply and install Waterproofing System on Post Upstands, including: ", $C$67, ", ", $C$68, ", ", $C$69, ", ",$C$70, ", ",$C$71, ", ",$C$72)</f>
        <v>To supply and install Waterproofing System on Post Upstands, including: Impertene Bitumen Primer, Paraflex NT3/Base Sheet VCL (10m x 1m), Oxidised Bitumen Type 95/25, Rockwool Hardwood Multi-Fix 60mm, Paraflex NT3/Base Sheet VCL (10m x 1m), Parflec ARD/S Bianco Reflecta Granular Cap Sheet (8m x 1m)</v>
      </c>
      <c r="D75" s="191"/>
      <c r="E75" s="191"/>
      <c r="F75" s="159"/>
      <c r="G75" s="161"/>
      <c r="H75" s="160"/>
      <c r="I75" s="159"/>
      <c r="J75" s="51"/>
    </row>
    <row r="76" spans="1:10" x14ac:dyDescent="0.25">
      <c r="A76" s="7"/>
      <c r="D76" s="43"/>
      <c r="G76" s="43"/>
      <c r="I76" s="7"/>
      <c r="J76" s="6"/>
    </row>
    <row r="77" spans="1:10" x14ac:dyDescent="0.25">
      <c r="A77" s="7"/>
      <c r="B77" s="190" t="s">
        <v>58</v>
      </c>
      <c r="C77" s="190"/>
      <c r="D77" s="154"/>
      <c r="E77" s="155"/>
      <c r="F77" s="7"/>
      <c r="G77" s="154"/>
      <c r="H77" s="156"/>
      <c r="I77" s="7"/>
      <c r="J77" s="6"/>
    </row>
    <row r="78" spans="1:10" x14ac:dyDescent="0.25">
      <c r="A78" s="7"/>
      <c r="D78" s="43"/>
      <c r="F78" s="7"/>
      <c r="G78" s="43"/>
      <c r="H78" s="6"/>
      <c r="I78" s="7"/>
      <c r="J78" s="6"/>
    </row>
    <row r="79" spans="1:10" x14ac:dyDescent="0.25">
      <c r="A79" s="7"/>
      <c r="B79" s="4"/>
      <c r="C79" s="30"/>
      <c r="D79" s="10"/>
      <c r="F79" s="7"/>
      <c r="G79" s="10"/>
      <c r="I79" s="7"/>
      <c r="J79" s="6"/>
    </row>
    <row r="80" spans="1:10" x14ac:dyDescent="0.25">
      <c r="A80" s="7"/>
      <c r="B80" s="4" t="s">
        <v>51</v>
      </c>
      <c r="D80" s="8"/>
      <c r="F80" s="7"/>
      <c r="I80" s="7"/>
      <c r="J80" s="6"/>
    </row>
    <row r="81" spans="1:10" x14ac:dyDescent="0.25">
      <c r="A81" s="7"/>
      <c r="B81" s="4"/>
      <c r="C81" t="s">
        <v>98</v>
      </c>
      <c r="D81" s="8">
        <v>50</v>
      </c>
      <c r="F81" s="7"/>
      <c r="G81" s="24">
        <v>24</v>
      </c>
      <c r="I81" s="7"/>
      <c r="J81" s="6"/>
    </row>
    <row r="82" spans="1:10" x14ac:dyDescent="0.25">
      <c r="A82" s="7"/>
      <c r="C82" s="32" t="s">
        <v>55</v>
      </c>
      <c r="D82" s="9">
        <f>SUM(D81:D81)</f>
        <v>50</v>
      </c>
      <c r="E82" t="s">
        <v>22</v>
      </c>
      <c r="G82" s="9">
        <f>SUM(G81:G81)</f>
        <v>24</v>
      </c>
      <c r="H82" t="s">
        <v>22</v>
      </c>
      <c r="I82" s="7"/>
      <c r="J82" s="6"/>
    </row>
    <row r="83" spans="1:10" x14ac:dyDescent="0.25">
      <c r="C83" s="33"/>
      <c r="D83" s="10"/>
      <c r="F83" s="7"/>
      <c r="G83" s="10"/>
      <c r="H83" s="6"/>
    </row>
  </sheetData>
  <sortState xmlns:xlrd2="http://schemas.microsoft.com/office/spreadsheetml/2017/richdata2" ref="C83:H83">
    <sortCondition ref="C83"/>
  </sortState>
  <mergeCells count="18">
    <mergeCell ref="C53:E53"/>
    <mergeCell ref="B1:E1"/>
    <mergeCell ref="G1:H1"/>
    <mergeCell ref="C13:E13"/>
    <mergeCell ref="C23:E23"/>
    <mergeCell ref="C34:E34"/>
    <mergeCell ref="D3:E3"/>
    <mergeCell ref="G3:H3"/>
    <mergeCell ref="B5:C5"/>
    <mergeCell ref="B26:C26"/>
    <mergeCell ref="B45:C45"/>
    <mergeCell ref="C43:E43"/>
    <mergeCell ref="B15:C15"/>
    <mergeCell ref="B64:C64"/>
    <mergeCell ref="C75:E75"/>
    <mergeCell ref="B55:C55"/>
    <mergeCell ref="C62:E62"/>
    <mergeCell ref="B77:C77"/>
  </mergeCells>
  <pageMargins left="0.7" right="0.7" top="0.75" bottom="0.75" header="0.3" footer="0.3"/>
  <pageSetup paperSize="621" orientation="landscape" horizont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A8B3B-081E-4CE5-8EC7-297A5210F3BA}">
  <sheetPr codeName="Sheet3">
    <tabColor theme="9" tint="0.59999389629810485"/>
  </sheetPr>
  <dimension ref="A1:T91"/>
  <sheetViews>
    <sheetView workbookViewId="0"/>
  </sheetViews>
  <sheetFormatPr defaultColWidth="10.85546875" defaultRowHeight="15" outlineLevelCol="1" x14ac:dyDescent="0.25"/>
  <cols>
    <col min="1" max="1" width="12.140625" style="6" customWidth="1"/>
    <col min="2" max="2" width="15.7109375" style="6" customWidth="1"/>
    <col min="3" max="3" width="5" style="44" bestFit="1" customWidth="1"/>
    <col min="4" max="4" width="27.7109375" style="45" customWidth="1"/>
    <col min="5" max="5" width="13.28515625" style="6" customWidth="1" outlineLevel="1"/>
    <col min="6" max="6" width="14.28515625" style="6" bestFit="1" customWidth="1" outlineLevel="1"/>
    <col min="7" max="7" width="13.28515625" style="6" customWidth="1" outlineLevel="1"/>
    <col min="8" max="8" width="14.28515625" style="6" bestFit="1" customWidth="1" outlineLevel="1"/>
    <col min="9" max="15" width="13.28515625" style="6" customWidth="1" outlineLevel="1"/>
    <col min="16" max="16" width="4.140625" style="44" bestFit="1" customWidth="1"/>
    <col min="17" max="17" width="15.140625" style="6" bestFit="1" customWidth="1"/>
    <col min="18" max="18" width="10.85546875" style="6"/>
    <col min="19" max="19" width="10.85546875" style="45"/>
    <col min="20" max="16384" width="10.85546875" style="6"/>
  </cols>
  <sheetData>
    <row r="1" spans="1:20" s="27" customFormat="1" x14ac:dyDescent="0.25">
      <c r="A1" s="27" t="s">
        <v>8</v>
      </c>
      <c r="B1" s="27" t="str">
        <f ca="1">MID(CELL("filename",B1),FIND("]",CELL("filename",B1))+1,256)</f>
        <v>Flat Roofing</v>
      </c>
      <c r="E1" s="197" t="s">
        <v>40</v>
      </c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31" t="s">
        <v>39</v>
      </c>
      <c r="S1" s="82"/>
      <c r="T1" s="83"/>
    </row>
    <row r="2" spans="1:20" x14ac:dyDescent="0.25">
      <c r="A2" s="6" t="s">
        <v>9</v>
      </c>
      <c r="B2" s="47">
        <f>Q11</f>
        <v>551047.01075000002</v>
      </c>
      <c r="C2" s="48"/>
      <c r="P2" s="88"/>
      <c r="S2" s="13"/>
      <c r="T2" s="46"/>
    </row>
    <row r="3" spans="1:20" x14ac:dyDescent="0.25">
      <c r="A3" s="6" t="s">
        <v>10</v>
      </c>
      <c r="B3" s="47">
        <f>Q13</f>
        <v>115685.8</v>
      </c>
      <c r="C3" s="48"/>
      <c r="P3" s="88"/>
      <c r="S3" s="13"/>
      <c r="T3" s="46"/>
    </row>
    <row r="4" spans="1:20" ht="15.75" thickBot="1" x14ac:dyDescent="0.3">
      <c r="A4" t="s">
        <v>28</v>
      </c>
      <c r="B4" s="12">
        <f>B2+B3</f>
        <v>666732.81075000006</v>
      </c>
      <c r="C4" s="49"/>
      <c r="D4" s="98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99"/>
      <c r="S4" s="50"/>
    </row>
    <row r="5" spans="1:20" ht="15.75" thickTop="1" x14ac:dyDescent="0.25">
      <c r="A5" t="s">
        <v>6</v>
      </c>
      <c r="B5" s="10">
        <f>Q9</f>
        <v>200019.84322499999</v>
      </c>
      <c r="C5" s="49"/>
      <c r="P5" s="88"/>
      <c r="S5" s="50"/>
    </row>
    <row r="6" spans="1:20" ht="15.75" thickBot="1" x14ac:dyDescent="0.3">
      <c r="A6" t="s">
        <v>11</v>
      </c>
      <c r="B6" s="12">
        <f>B4+B5</f>
        <v>866752.65397500002</v>
      </c>
      <c r="C6" s="49"/>
      <c r="P6" s="88"/>
      <c r="S6" s="50"/>
    </row>
    <row r="7" spans="1:20" s="51" customFormat="1" ht="23.25" customHeight="1" thickTop="1" x14ac:dyDescent="0.25">
      <c r="B7" s="52"/>
      <c r="C7" s="53"/>
      <c r="D7" s="54" t="s">
        <v>25</v>
      </c>
      <c r="E7" s="36">
        <f t="shared" ref="E7:L7" si="0">IF(E17=0,0, E8/E17)</f>
        <v>49.043637499999996</v>
      </c>
      <c r="F7" s="36">
        <f t="shared" si="0"/>
        <v>154.01100000000002</v>
      </c>
      <c r="G7" s="36">
        <f t="shared" ref="G7" si="1">IF(G17=0,0, G8/G17)</f>
        <v>49.043637499999996</v>
      </c>
      <c r="H7" s="36">
        <f t="shared" ref="H7" si="2">IF(H17=0,0, H8/H17)</f>
        <v>280.35175999999996</v>
      </c>
      <c r="I7" s="36">
        <f t="shared" si="0"/>
        <v>49.043637500000003</v>
      </c>
      <c r="J7" s="36">
        <f t="shared" si="0"/>
        <v>82.224999999999994</v>
      </c>
      <c r="K7" s="36">
        <f t="shared" si="0"/>
        <v>36.782728124999998</v>
      </c>
      <c r="L7" s="36">
        <f t="shared" si="0"/>
        <v>61.668749999999996</v>
      </c>
      <c r="M7" s="36">
        <f t="shared" ref="M7:O7" si="3">IF(M17=0,0, M8/M17)</f>
        <v>105.82000000000001</v>
      </c>
      <c r="N7" s="36">
        <f t="shared" si="3"/>
        <v>103.129</v>
      </c>
      <c r="O7" s="36">
        <f t="shared" si="3"/>
        <v>81.25</v>
      </c>
      <c r="P7" s="89"/>
      <c r="Q7" s="6"/>
      <c r="S7" s="55"/>
    </row>
    <row r="8" spans="1:20" x14ac:dyDescent="0.25">
      <c r="B8" s="10"/>
      <c r="C8" s="49"/>
      <c r="D8" s="56" t="s">
        <v>24</v>
      </c>
      <c r="E8" s="37">
        <f>E9+E10</f>
        <v>183668.42243749998</v>
      </c>
      <c r="F8" s="37">
        <f>F9+F10</f>
        <v>576771.19500000007</v>
      </c>
      <c r="G8" s="37">
        <f>G9+G10</f>
        <v>7601.7638124999994</v>
      </c>
      <c r="H8" s="37">
        <f>H9+H10</f>
        <v>43454.522799999992</v>
      </c>
      <c r="I8" s="37">
        <f>I9+I10</f>
        <v>1961.7455</v>
      </c>
      <c r="J8" s="37">
        <f t="shared" ref="J8:L8" si="4">J9+J10</f>
        <v>3289</v>
      </c>
      <c r="K8" s="37">
        <f t="shared" si="4"/>
        <v>2648.3564249999999</v>
      </c>
      <c r="L8" s="37">
        <f t="shared" si="4"/>
        <v>4440.1499999999996</v>
      </c>
      <c r="M8" s="37">
        <f t="shared" ref="M8" si="5">M9+M10</f>
        <v>20423.260000000002</v>
      </c>
      <c r="N8" s="37">
        <f>N9+N10</f>
        <v>12581.738000000001</v>
      </c>
      <c r="O8" s="37">
        <f>O9+O10</f>
        <v>9912.5</v>
      </c>
      <c r="P8" s="84"/>
      <c r="Q8" s="87">
        <f>SUM(E8:P8)</f>
        <v>866752.65397500014</v>
      </c>
      <c r="S8" s="50"/>
    </row>
    <row r="9" spans="1:20" x14ac:dyDescent="0.25">
      <c r="A9" s="47"/>
      <c r="B9" s="29"/>
      <c r="C9" s="57">
        <f>Summary!$G$4</f>
        <v>0.3</v>
      </c>
      <c r="D9" s="58" t="s">
        <v>6</v>
      </c>
      <c r="E9" s="38">
        <f t="shared" ref="E9:O9" si="6">E10*SiteSummaryMargin</f>
        <v>42385.020562499994</v>
      </c>
      <c r="F9" s="38">
        <f t="shared" si="6"/>
        <v>133101.04500000001</v>
      </c>
      <c r="G9" s="38">
        <f t="shared" si="6"/>
        <v>1754.2531875</v>
      </c>
      <c r="H9" s="38">
        <f t="shared" si="6"/>
        <v>10027.966799999998</v>
      </c>
      <c r="I9" s="38">
        <f t="shared" si="6"/>
        <v>452.71050000000002</v>
      </c>
      <c r="J9" s="38">
        <f t="shared" si="6"/>
        <v>759</v>
      </c>
      <c r="K9" s="38">
        <f t="shared" si="6"/>
        <v>611.159175</v>
      </c>
      <c r="L9" s="38">
        <f t="shared" si="6"/>
        <v>1024.6499999999999</v>
      </c>
      <c r="M9" s="38">
        <f t="shared" si="6"/>
        <v>4713.0600000000004</v>
      </c>
      <c r="N9" s="38">
        <f t="shared" si="6"/>
        <v>2903.4780000000001</v>
      </c>
      <c r="O9" s="38">
        <f t="shared" si="6"/>
        <v>2287.5</v>
      </c>
      <c r="P9" s="85"/>
      <c r="Q9" s="87">
        <f>SUM(E9:P9)</f>
        <v>200019.84322499999</v>
      </c>
      <c r="R9" s="59"/>
      <c r="S9" s="50"/>
    </row>
    <row r="10" spans="1:20" x14ac:dyDescent="0.25">
      <c r="D10" s="60" t="s">
        <v>23</v>
      </c>
      <c r="E10" s="39">
        <f>E11+E13</f>
        <v>141283.40187499998</v>
      </c>
      <c r="F10" s="39">
        <f>F11+F13</f>
        <v>443670.15</v>
      </c>
      <c r="G10" s="39">
        <f>G11+G13</f>
        <v>5847.5106249999999</v>
      </c>
      <c r="H10" s="39">
        <f>H11+H13</f>
        <v>33426.555999999997</v>
      </c>
      <c r="I10" s="39">
        <f>I11+I13</f>
        <v>1509.0350000000001</v>
      </c>
      <c r="J10" s="39">
        <f t="shared" ref="J10:L10" si="7">J11+J13</f>
        <v>2530</v>
      </c>
      <c r="K10" s="39">
        <f t="shared" si="7"/>
        <v>2037.1972500000002</v>
      </c>
      <c r="L10" s="39">
        <f t="shared" si="7"/>
        <v>3415.5</v>
      </c>
      <c r="M10" s="39">
        <f t="shared" ref="M10" si="8">M11+M13</f>
        <v>15710.2</v>
      </c>
      <c r="N10" s="39">
        <f>N11+N13</f>
        <v>9678.26</v>
      </c>
      <c r="O10" s="39">
        <f>O11+O13</f>
        <v>7625</v>
      </c>
      <c r="P10" s="85"/>
      <c r="Q10" s="87">
        <f>SUM(E10:P10)</f>
        <v>666732.81074999995</v>
      </c>
      <c r="S10" s="50"/>
    </row>
    <row r="11" spans="1:20" x14ac:dyDescent="0.25">
      <c r="D11" s="61" t="s">
        <v>12</v>
      </c>
      <c r="E11" s="39">
        <f t="shared" ref="E11:L11" si="9">E12*E16</f>
        <v>83610.401874999996</v>
      </c>
      <c r="F11" s="39">
        <f t="shared" si="9"/>
        <v>402475.15</v>
      </c>
      <c r="G11" s="39">
        <f t="shared" ref="G11" si="10">G12*G16</f>
        <v>3460.5106249999999</v>
      </c>
      <c r="H11" s="39">
        <f t="shared" ref="H11" si="11">H12*H16</f>
        <v>32174.155999999999</v>
      </c>
      <c r="I11" s="39">
        <f t="shared" si="9"/>
        <v>893.03500000000008</v>
      </c>
      <c r="J11" s="39">
        <f t="shared" si="9"/>
        <v>2354</v>
      </c>
      <c r="K11" s="39">
        <f t="shared" si="9"/>
        <v>1205.59725</v>
      </c>
      <c r="L11" s="39">
        <f t="shared" si="9"/>
        <v>3177.9</v>
      </c>
      <c r="M11" s="39">
        <f t="shared" ref="M11:O11" si="12">M12*M16</f>
        <v>10615</v>
      </c>
      <c r="N11" s="39">
        <f t="shared" si="12"/>
        <v>5164.26</v>
      </c>
      <c r="O11" s="39">
        <f t="shared" si="12"/>
        <v>5917</v>
      </c>
      <c r="P11" s="85"/>
      <c r="Q11" s="87">
        <f>SUM(E11:P11)</f>
        <v>551047.01075000002</v>
      </c>
      <c r="S11" s="50"/>
    </row>
    <row r="12" spans="1:20" x14ac:dyDescent="0.25">
      <c r="D12" s="61" t="s">
        <v>13</v>
      </c>
      <c r="E12" s="14">
        <f>RateWaterproofingWarmMat</f>
        <v>20.296250000000001</v>
      </c>
      <c r="F12" s="14">
        <f>RateInsulationUpstandBoardMat</f>
        <v>97.7</v>
      </c>
      <c r="G12" s="14">
        <f>RateWaterproofingWarmMat</f>
        <v>20.296250000000001</v>
      </c>
      <c r="H12" s="14">
        <f>RateInsulationTaperedMat</f>
        <v>205.51999999999998</v>
      </c>
      <c r="I12" s="14">
        <f>RateUpstandMat</f>
        <v>20.296250000000001</v>
      </c>
      <c r="J12" s="14">
        <f>('SRES Costs'!D60 * J20)</f>
        <v>53.5</v>
      </c>
      <c r="K12" s="14">
        <f>(RateUpstandMat * K20)</f>
        <v>15.2221875</v>
      </c>
      <c r="L12" s="14">
        <f>('SRES Costs'!D60 * L20)</f>
        <v>40.125</v>
      </c>
      <c r="M12" s="14">
        <f>RateDripstandLinTotalMat</f>
        <v>50</v>
      </c>
      <c r="N12" s="14">
        <f>RateWaterproofingColdMat</f>
        <v>42.33</v>
      </c>
      <c r="O12" s="14">
        <f>'SRES Costs'!D73</f>
        <v>48.5</v>
      </c>
      <c r="P12" s="86"/>
      <c r="Q12" s="87"/>
      <c r="S12" s="50"/>
    </row>
    <row r="13" spans="1:20" x14ac:dyDescent="0.25">
      <c r="D13" s="61" t="s">
        <v>14</v>
      </c>
      <c r="E13" s="39">
        <f>E14*E16</f>
        <v>57673</v>
      </c>
      <c r="F13" s="39">
        <f t="shared" ref="F13:L13" si="13">F14*F16</f>
        <v>41195</v>
      </c>
      <c r="G13" s="39">
        <f>G14*G16</f>
        <v>2387</v>
      </c>
      <c r="H13" s="39">
        <f t="shared" ref="H13" si="14">H14*H16</f>
        <v>1252.4000000000001</v>
      </c>
      <c r="I13" s="39">
        <f t="shared" si="13"/>
        <v>616</v>
      </c>
      <c r="J13" s="39">
        <f t="shared" si="13"/>
        <v>176</v>
      </c>
      <c r="K13" s="39">
        <f t="shared" si="13"/>
        <v>831.6</v>
      </c>
      <c r="L13" s="39">
        <f t="shared" si="13"/>
        <v>237.60000000000002</v>
      </c>
      <c r="M13" s="39">
        <f t="shared" ref="M13" si="15">M14*M16</f>
        <v>5095.2000000000007</v>
      </c>
      <c r="N13" s="39">
        <f>N14*N16</f>
        <v>4514</v>
      </c>
      <c r="O13" s="39">
        <f t="shared" ref="O13" si="16">O14*O16</f>
        <v>1708</v>
      </c>
      <c r="P13" s="85"/>
      <c r="Q13" s="87">
        <f>SUM(E13:P13)</f>
        <v>115685.8</v>
      </c>
      <c r="S13" s="50"/>
    </row>
    <row r="14" spans="1:20" x14ac:dyDescent="0.25">
      <c r="D14" s="61" t="s">
        <v>15</v>
      </c>
      <c r="E14" s="14">
        <f>RateWaterproofingWarmLab</f>
        <v>14</v>
      </c>
      <c r="F14" s="14">
        <f>RateInsulationUpstandBoardLab</f>
        <v>10</v>
      </c>
      <c r="G14" s="14">
        <f>RateWaterproofingWarmLab</f>
        <v>14</v>
      </c>
      <c r="H14" s="14">
        <f>RateInsulationTaperedLab</f>
        <v>8</v>
      </c>
      <c r="I14" s="14">
        <f>RateUpstandLab</f>
        <v>14</v>
      </c>
      <c r="J14" s="14">
        <f>('SRES Costs'!G60 * J20)</f>
        <v>4</v>
      </c>
      <c r="K14" s="14">
        <f>(RateUpstandLab * K20)</f>
        <v>10.5</v>
      </c>
      <c r="L14" s="14">
        <f>('SRES Costs'!G60 * L20)</f>
        <v>3</v>
      </c>
      <c r="M14" s="14">
        <f>RateDripstandLinTotalLab</f>
        <v>24</v>
      </c>
      <c r="N14" s="14">
        <f>RateWaterproofingcoldLab</f>
        <v>37</v>
      </c>
      <c r="O14" s="14">
        <f>'SRES Costs'!G73</f>
        <v>14</v>
      </c>
      <c r="P14" s="86"/>
      <c r="Q14" s="87"/>
    </row>
    <row r="15" spans="1:20" s="97" customFormat="1" x14ac:dyDescent="0.25">
      <c r="C15" s="112"/>
      <c r="D15" s="98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1"/>
      <c r="S15" s="98"/>
    </row>
    <row r="16" spans="1:20" x14ac:dyDescent="0.25">
      <c r="D16" s="62" t="s">
        <v>16</v>
      </c>
      <c r="E16" s="40">
        <f>SUM(E17:E18)</f>
        <v>4119.5</v>
      </c>
      <c r="F16" s="40">
        <f>SUM(F17:F18)</f>
        <v>4119.5</v>
      </c>
      <c r="G16" s="40">
        <f>SUM(G17:G18)</f>
        <v>170.5</v>
      </c>
      <c r="H16" s="40">
        <f>SUM(H17:H18)</f>
        <v>156.55000000000001</v>
      </c>
      <c r="I16" s="40">
        <f t="shared" ref="I16:K16" si="17">SUM(I17:I18)</f>
        <v>44</v>
      </c>
      <c r="J16" s="40">
        <f t="shared" ref="J16" si="18">SUM(J17:J18)</f>
        <v>44</v>
      </c>
      <c r="K16" s="40">
        <f t="shared" si="17"/>
        <v>79.2</v>
      </c>
      <c r="L16" s="40">
        <f t="shared" ref="L16:M16" si="19">SUM(L17:L18)</f>
        <v>79.2</v>
      </c>
      <c r="M16" s="40">
        <f t="shared" si="19"/>
        <v>212.3</v>
      </c>
      <c r="N16" s="40">
        <f>SUM(N17:N18)</f>
        <v>122</v>
      </c>
      <c r="O16" s="40">
        <f t="shared" ref="O16" si="20">SUM(O17:O18)</f>
        <v>122</v>
      </c>
      <c r="P16" s="91"/>
    </row>
    <row r="17" spans="3:19" x14ac:dyDescent="0.25">
      <c r="D17" s="22" t="s">
        <v>27</v>
      </c>
      <c r="E17" s="23">
        <f>E24</f>
        <v>3745</v>
      </c>
      <c r="F17" s="23">
        <f t="shared" ref="F17:M17" si="21">F24</f>
        <v>3745</v>
      </c>
      <c r="G17" s="23">
        <f>G24</f>
        <v>155</v>
      </c>
      <c r="H17" s="23">
        <f t="shared" ref="H17" si="22">H24</f>
        <v>155</v>
      </c>
      <c r="I17" s="23">
        <f t="shared" si="21"/>
        <v>40</v>
      </c>
      <c r="J17" s="23">
        <f t="shared" si="21"/>
        <v>40</v>
      </c>
      <c r="K17" s="23">
        <f t="shared" si="21"/>
        <v>72</v>
      </c>
      <c r="L17" s="23">
        <f t="shared" si="21"/>
        <v>72</v>
      </c>
      <c r="M17" s="23">
        <f t="shared" si="21"/>
        <v>193</v>
      </c>
      <c r="N17" s="23">
        <f>N24</f>
        <v>122</v>
      </c>
      <c r="O17" s="23">
        <f t="shared" ref="O17" si="23">O24</f>
        <v>122</v>
      </c>
      <c r="P17" s="92"/>
      <c r="R17" s="26"/>
    </row>
    <row r="18" spans="3:19" x14ac:dyDescent="0.25">
      <c r="D18" s="16" t="s">
        <v>41</v>
      </c>
      <c r="E18" s="41">
        <f>E17*E19</f>
        <v>374.5</v>
      </c>
      <c r="F18" s="41">
        <f>F17*F19</f>
        <v>374.5</v>
      </c>
      <c r="G18" s="41">
        <f>G17*G19</f>
        <v>15.5</v>
      </c>
      <c r="H18" s="41">
        <f>H17*H19</f>
        <v>1.55</v>
      </c>
      <c r="I18" s="41">
        <f t="shared" ref="I18:K18" si="24">I17*I19</f>
        <v>4</v>
      </c>
      <c r="J18" s="41">
        <f t="shared" ref="J18" si="25">J17*J19</f>
        <v>4</v>
      </c>
      <c r="K18" s="41">
        <f t="shared" si="24"/>
        <v>7.2</v>
      </c>
      <c r="L18" s="41">
        <f t="shared" ref="L18:M18" si="26">L17*L19</f>
        <v>7.2</v>
      </c>
      <c r="M18" s="41">
        <f t="shared" si="26"/>
        <v>19.3</v>
      </c>
      <c r="N18" s="41">
        <f>N17*N19</f>
        <v>0</v>
      </c>
      <c r="O18" s="41">
        <f t="shared" ref="O18" si="27">O17*O19</f>
        <v>0</v>
      </c>
      <c r="P18" s="93"/>
    </row>
    <row r="19" spans="3:19" x14ac:dyDescent="0.25">
      <c r="C19" s="19"/>
      <c r="D19" s="16" t="s">
        <v>26</v>
      </c>
      <c r="E19" s="17">
        <v>0.1</v>
      </c>
      <c r="F19" s="17">
        <v>0.1</v>
      </c>
      <c r="G19" s="17">
        <v>0.1</v>
      </c>
      <c r="H19" s="17">
        <v>0.01</v>
      </c>
      <c r="I19" s="17">
        <v>0.1</v>
      </c>
      <c r="J19" s="17">
        <v>0.1</v>
      </c>
      <c r="K19" s="17">
        <v>0.1</v>
      </c>
      <c r="L19" s="17">
        <v>0.1</v>
      </c>
      <c r="M19" s="17">
        <v>0.1</v>
      </c>
      <c r="N19" s="17">
        <v>0</v>
      </c>
      <c r="O19" s="17">
        <v>0</v>
      </c>
      <c r="P19" s="94"/>
      <c r="Q19" s="66"/>
      <c r="R19" s="66"/>
    </row>
    <row r="20" spans="3:19" x14ac:dyDescent="0.25">
      <c r="C20" s="63"/>
      <c r="D20" s="64" t="s">
        <v>46</v>
      </c>
      <c r="E20" s="25">
        <v>1</v>
      </c>
      <c r="F20" s="25">
        <v>1</v>
      </c>
      <c r="G20" s="25">
        <v>1</v>
      </c>
      <c r="H20" s="25">
        <v>1</v>
      </c>
      <c r="I20" s="25">
        <v>1</v>
      </c>
      <c r="J20" s="25">
        <v>1</v>
      </c>
      <c r="K20" s="25">
        <v>0.75</v>
      </c>
      <c r="L20" s="25">
        <v>0.75</v>
      </c>
      <c r="M20" s="25">
        <v>0.3</v>
      </c>
      <c r="N20" s="25">
        <v>1</v>
      </c>
      <c r="O20" s="25">
        <v>1</v>
      </c>
      <c r="P20" s="95"/>
    </row>
    <row r="21" spans="3:19" s="44" customFormat="1" ht="15.75" thickBot="1" x14ac:dyDescent="0.3">
      <c r="D21" s="64" t="s">
        <v>31</v>
      </c>
      <c r="E21" s="42" t="s">
        <v>37</v>
      </c>
      <c r="F21" s="42" t="s">
        <v>37</v>
      </c>
      <c r="G21" s="42" t="s">
        <v>37</v>
      </c>
      <c r="H21" s="42" t="s">
        <v>37</v>
      </c>
      <c r="I21" s="42" t="s">
        <v>30</v>
      </c>
      <c r="J21" s="42" t="s">
        <v>30</v>
      </c>
      <c r="K21" s="42" t="s">
        <v>30</v>
      </c>
      <c r="L21" s="42" t="s">
        <v>30</v>
      </c>
      <c r="M21" s="42" t="s">
        <v>30</v>
      </c>
      <c r="N21" s="42" t="s">
        <v>93</v>
      </c>
      <c r="O21" s="42" t="s">
        <v>93</v>
      </c>
      <c r="P21" s="90"/>
    </row>
    <row r="22" spans="3:19" ht="15.75" thickBot="1" x14ac:dyDescent="0.3">
      <c r="D22" s="64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90"/>
      <c r="S22" s="6"/>
    </row>
    <row r="23" spans="3:19" ht="60" x14ac:dyDescent="0.25">
      <c r="D23" s="65" t="s">
        <v>17</v>
      </c>
      <c r="E23" s="15" t="s">
        <v>73</v>
      </c>
      <c r="F23" s="15" t="s">
        <v>45</v>
      </c>
      <c r="G23" s="15" t="s">
        <v>73</v>
      </c>
      <c r="H23" s="15" t="s">
        <v>88</v>
      </c>
      <c r="I23" s="15" t="s">
        <v>60</v>
      </c>
      <c r="J23" s="15" t="s">
        <v>43</v>
      </c>
      <c r="K23" s="15" t="s">
        <v>78</v>
      </c>
      <c r="L23" s="15" t="s">
        <v>43</v>
      </c>
      <c r="M23" s="15" t="s">
        <v>61</v>
      </c>
      <c r="N23" s="15" t="s">
        <v>94</v>
      </c>
      <c r="O23" s="15" t="s">
        <v>97</v>
      </c>
      <c r="P23" s="96"/>
    </row>
    <row r="24" spans="3:19" x14ac:dyDescent="0.25">
      <c r="C24" s="42"/>
      <c r="D24" s="133" t="s">
        <v>52</v>
      </c>
      <c r="E24" s="134">
        <f>SUM(E25:E94)</f>
        <v>3745</v>
      </c>
      <c r="F24" s="134">
        <f t="shared" ref="F24:M24" si="28">SUM(F25:F94)</f>
        <v>3745</v>
      </c>
      <c r="G24" s="134">
        <f>SUM(G25:G94)</f>
        <v>155</v>
      </c>
      <c r="H24" s="134">
        <f t="shared" si="28"/>
        <v>155</v>
      </c>
      <c r="I24" s="134">
        <f t="shared" si="28"/>
        <v>40</v>
      </c>
      <c r="J24" s="134">
        <f t="shared" si="28"/>
        <v>40</v>
      </c>
      <c r="K24" s="134">
        <f t="shared" si="28"/>
        <v>72</v>
      </c>
      <c r="L24" s="134">
        <f t="shared" si="28"/>
        <v>72</v>
      </c>
      <c r="M24" s="134">
        <f t="shared" si="28"/>
        <v>193</v>
      </c>
      <c r="N24" s="134">
        <f>SUM(N25:N94)</f>
        <v>122</v>
      </c>
      <c r="O24" s="134">
        <f t="shared" ref="O24" si="29">SUM(O25:O94)</f>
        <v>122</v>
      </c>
      <c r="P24" s="134"/>
      <c r="S24" s="6"/>
    </row>
    <row r="25" spans="3:19" x14ac:dyDescent="0.25">
      <c r="E25" s="157">
        <f>3900-155</f>
        <v>3745</v>
      </c>
      <c r="F25" s="157">
        <f>3900-155</f>
        <v>3745</v>
      </c>
      <c r="G25" s="157">
        <v>155</v>
      </c>
      <c r="H25" s="157">
        <v>155</v>
      </c>
      <c r="I25" s="157">
        <v>40</v>
      </c>
      <c r="J25" s="157">
        <v>40</v>
      </c>
      <c r="K25" s="157">
        <v>72</v>
      </c>
      <c r="L25" s="157">
        <v>72</v>
      </c>
      <c r="M25" s="157">
        <v>193</v>
      </c>
      <c r="N25" s="157">
        <v>122</v>
      </c>
      <c r="O25" s="157">
        <v>122</v>
      </c>
    </row>
    <row r="26" spans="3:19" x14ac:dyDescent="0.25"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</row>
    <row r="27" spans="3:19" x14ac:dyDescent="0.25"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</row>
    <row r="28" spans="3:19" x14ac:dyDescent="0.25"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</row>
    <row r="29" spans="3:19" x14ac:dyDescent="0.25"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</row>
    <row r="30" spans="3:19" x14ac:dyDescent="0.25"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</row>
    <row r="31" spans="3:19" x14ac:dyDescent="0.25"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</row>
    <row r="32" spans="3:19" x14ac:dyDescent="0.25"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</row>
    <row r="33" spans="5:15" x14ac:dyDescent="0.25"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</row>
    <row r="34" spans="5:15" x14ac:dyDescent="0.25"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</row>
    <row r="35" spans="5:15" x14ac:dyDescent="0.25"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</row>
    <row r="36" spans="5:15" x14ac:dyDescent="0.25"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</row>
    <row r="37" spans="5:15" x14ac:dyDescent="0.25"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</row>
    <row r="38" spans="5:15" x14ac:dyDescent="0.25"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</row>
    <row r="39" spans="5:15" x14ac:dyDescent="0.25"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</row>
    <row r="40" spans="5:15" x14ac:dyDescent="0.25"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</row>
    <row r="41" spans="5:15" x14ac:dyDescent="0.25"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</row>
    <row r="42" spans="5:15" x14ac:dyDescent="0.25"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</row>
    <row r="43" spans="5:15" x14ac:dyDescent="0.25"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</row>
    <row r="44" spans="5:15" x14ac:dyDescent="0.25"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157"/>
    </row>
    <row r="45" spans="5:15" x14ac:dyDescent="0.25"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</row>
    <row r="46" spans="5:15" x14ac:dyDescent="0.25"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57"/>
    </row>
    <row r="47" spans="5:15" x14ac:dyDescent="0.25"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</row>
    <row r="48" spans="5:15" x14ac:dyDescent="0.25"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</row>
    <row r="49" spans="5:15" x14ac:dyDescent="0.25"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</row>
    <row r="50" spans="5:15" x14ac:dyDescent="0.25"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</row>
    <row r="51" spans="5:15" x14ac:dyDescent="0.25"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</row>
    <row r="52" spans="5:15" x14ac:dyDescent="0.25"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</row>
    <row r="53" spans="5:15" x14ac:dyDescent="0.25"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7"/>
    </row>
    <row r="54" spans="5:15" x14ac:dyDescent="0.25"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</row>
    <row r="55" spans="5:15" x14ac:dyDescent="0.25">
      <c r="E55" s="157"/>
      <c r="F55" s="157"/>
      <c r="G55" s="157"/>
      <c r="H55" s="157"/>
      <c r="I55" s="157"/>
      <c r="J55" s="157"/>
      <c r="K55" s="157"/>
      <c r="L55" s="157"/>
      <c r="M55" s="157"/>
      <c r="N55" s="157"/>
      <c r="O55" s="157"/>
    </row>
    <row r="56" spans="5:15" x14ac:dyDescent="0.25">
      <c r="E56" s="157"/>
      <c r="F56" s="157"/>
      <c r="G56" s="157"/>
      <c r="H56" s="157"/>
      <c r="I56" s="157"/>
      <c r="J56" s="157"/>
      <c r="K56" s="157"/>
      <c r="L56" s="157"/>
      <c r="M56" s="157"/>
      <c r="N56" s="157"/>
      <c r="O56" s="157"/>
    </row>
    <row r="57" spans="5:15" x14ac:dyDescent="0.25">
      <c r="E57" s="157"/>
      <c r="F57" s="157"/>
      <c r="G57" s="157"/>
      <c r="H57" s="157"/>
      <c r="I57" s="157"/>
      <c r="J57" s="157"/>
      <c r="K57" s="157"/>
      <c r="L57" s="157"/>
      <c r="M57" s="157"/>
      <c r="N57" s="157"/>
      <c r="O57" s="157"/>
    </row>
    <row r="58" spans="5:15" x14ac:dyDescent="0.25">
      <c r="E58" s="157"/>
      <c r="F58" s="157"/>
      <c r="G58" s="157"/>
      <c r="H58" s="157"/>
      <c r="I58" s="157"/>
      <c r="J58" s="157"/>
      <c r="K58" s="157"/>
      <c r="L58" s="157"/>
      <c r="M58" s="157"/>
      <c r="N58" s="157"/>
      <c r="O58" s="157"/>
    </row>
    <row r="59" spans="5:15" x14ac:dyDescent="0.25">
      <c r="E59" s="157"/>
      <c r="F59" s="157"/>
      <c r="G59" s="157"/>
      <c r="H59" s="157"/>
      <c r="I59" s="157"/>
      <c r="J59" s="157"/>
      <c r="K59" s="157"/>
      <c r="L59" s="157"/>
      <c r="M59" s="157"/>
      <c r="N59" s="157"/>
      <c r="O59" s="157"/>
    </row>
    <row r="60" spans="5:15" x14ac:dyDescent="0.25">
      <c r="E60" s="157"/>
      <c r="F60" s="157"/>
      <c r="G60" s="157"/>
      <c r="H60" s="157"/>
      <c r="I60" s="157"/>
      <c r="J60" s="157"/>
      <c r="K60" s="157"/>
      <c r="L60" s="157"/>
      <c r="M60" s="157"/>
      <c r="N60" s="157"/>
      <c r="O60" s="157"/>
    </row>
    <row r="61" spans="5:15" x14ac:dyDescent="0.25">
      <c r="E61" s="157"/>
      <c r="F61" s="157"/>
      <c r="G61" s="157"/>
      <c r="H61" s="157"/>
      <c r="I61" s="157"/>
      <c r="J61" s="157"/>
      <c r="K61" s="157"/>
      <c r="L61" s="157"/>
      <c r="M61" s="157"/>
      <c r="N61" s="157"/>
      <c r="O61" s="157"/>
    </row>
    <row r="62" spans="5:15" x14ac:dyDescent="0.25">
      <c r="E62" s="157"/>
      <c r="F62" s="157"/>
      <c r="G62" s="157"/>
      <c r="H62" s="157"/>
      <c r="I62" s="157"/>
      <c r="J62" s="157"/>
      <c r="K62" s="157"/>
      <c r="L62" s="157"/>
      <c r="M62" s="157"/>
      <c r="N62" s="157"/>
      <c r="O62" s="157"/>
    </row>
    <row r="63" spans="5:15" x14ac:dyDescent="0.25">
      <c r="E63" s="157"/>
      <c r="F63" s="157"/>
      <c r="G63" s="157"/>
      <c r="H63" s="157"/>
      <c r="I63" s="157"/>
      <c r="J63" s="157"/>
      <c r="K63" s="157"/>
      <c r="L63" s="157"/>
      <c r="M63" s="157"/>
      <c r="N63" s="157"/>
      <c r="O63" s="157"/>
    </row>
    <row r="64" spans="5:15" x14ac:dyDescent="0.25">
      <c r="E64" s="157"/>
      <c r="F64" s="157"/>
      <c r="G64" s="157"/>
      <c r="H64" s="157"/>
      <c r="I64" s="157"/>
      <c r="J64" s="157"/>
      <c r="K64" s="157"/>
      <c r="L64" s="157"/>
      <c r="M64" s="157"/>
      <c r="N64" s="157"/>
      <c r="O64" s="157"/>
    </row>
    <row r="65" spans="5:15" x14ac:dyDescent="0.25">
      <c r="E65" s="157"/>
      <c r="F65" s="157"/>
      <c r="G65" s="157"/>
      <c r="H65" s="157"/>
      <c r="I65" s="157"/>
      <c r="J65" s="157"/>
      <c r="K65" s="157"/>
      <c r="L65" s="157"/>
      <c r="M65" s="157"/>
      <c r="N65" s="157"/>
      <c r="O65" s="157"/>
    </row>
    <row r="66" spans="5:15" x14ac:dyDescent="0.25">
      <c r="E66" s="157"/>
      <c r="F66" s="157"/>
      <c r="G66" s="157"/>
      <c r="H66" s="157"/>
      <c r="I66" s="157"/>
      <c r="J66" s="157"/>
      <c r="K66" s="157"/>
      <c r="L66" s="157"/>
      <c r="M66" s="157"/>
      <c r="N66" s="157"/>
      <c r="O66" s="157"/>
    </row>
    <row r="67" spans="5:15" x14ac:dyDescent="0.25">
      <c r="E67" s="157"/>
      <c r="F67" s="157"/>
      <c r="G67" s="157"/>
      <c r="H67" s="157"/>
      <c r="I67" s="157"/>
      <c r="J67" s="157"/>
      <c r="K67" s="157"/>
      <c r="L67" s="157"/>
      <c r="M67" s="157"/>
      <c r="N67" s="157"/>
      <c r="O67" s="157"/>
    </row>
    <row r="68" spans="5:15" x14ac:dyDescent="0.25">
      <c r="E68" s="157"/>
      <c r="F68" s="157"/>
      <c r="G68" s="157"/>
      <c r="H68" s="157"/>
      <c r="I68" s="157"/>
      <c r="J68" s="157"/>
      <c r="K68" s="157"/>
      <c r="L68" s="157"/>
      <c r="M68" s="157"/>
      <c r="N68" s="157"/>
      <c r="O68" s="157"/>
    </row>
    <row r="69" spans="5:15" x14ac:dyDescent="0.25">
      <c r="E69" s="157"/>
      <c r="F69" s="157"/>
      <c r="G69" s="157"/>
      <c r="H69" s="157"/>
      <c r="I69" s="157"/>
      <c r="J69" s="157"/>
      <c r="K69" s="157"/>
      <c r="L69" s="157"/>
      <c r="M69" s="157"/>
      <c r="N69" s="157"/>
      <c r="O69" s="157"/>
    </row>
    <row r="70" spans="5:15" x14ac:dyDescent="0.25">
      <c r="E70" s="157"/>
      <c r="F70" s="157"/>
      <c r="G70" s="157"/>
      <c r="H70" s="157"/>
      <c r="I70" s="157"/>
      <c r="J70" s="157"/>
      <c r="K70" s="157"/>
      <c r="L70" s="157"/>
      <c r="M70" s="157"/>
      <c r="N70" s="157"/>
      <c r="O70" s="157"/>
    </row>
    <row r="71" spans="5:15" x14ac:dyDescent="0.25">
      <c r="E71" s="157"/>
      <c r="F71" s="157"/>
      <c r="G71" s="157"/>
      <c r="H71" s="157"/>
      <c r="I71" s="157"/>
      <c r="J71" s="157"/>
      <c r="K71" s="157"/>
      <c r="L71" s="157"/>
      <c r="M71" s="157"/>
      <c r="N71" s="157"/>
      <c r="O71" s="157"/>
    </row>
    <row r="72" spans="5:15" x14ac:dyDescent="0.25">
      <c r="E72" s="157"/>
      <c r="F72" s="157"/>
      <c r="G72" s="157"/>
      <c r="H72" s="157"/>
      <c r="I72" s="157"/>
      <c r="J72" s="157"/>
      <c r="K72" s="157"/>
      <c r="L72" s="157"/>
      <c r="M72" s="157"/>
      <c r="N72" s="157"/>
      <c r="O72" s="157"/>
    </row>
    <row r="73" spans="5:15" x14ac:dyDescent="0.25">
      <c r="E73" s="157"/>
      <c r="F73" s="157"/>
      <c r="G73" s="157"/>
      <c r="H73" s="157"/>
      <c r="I73" s="157"/>
      <c r="J73" s="157"/>
      <c r="K73" s="157"/>
      <c r="L73" s="157"/>
      <c r="M73" s="157"/>
      <c r="N73" s="157"/>
      <c r="O73" s="157"/>
    </row>
    <row r="74" spans="5:15" x14ac:dyDescent="0.25">
      <c r="E74" s="157"/>
      <c r="F74" s="157"/>
      <c r="G74" s="157"/>
      <c r="H74" s="157"/>
      <c r="I74" s="157"/>
      <c r="J74" s="157"/>
      <c r="K74" s="157"/>
      <c r="L74" s="157"/>
      <c r="M74" s="157"/>
      <c r="N74" s="157"/>
      <c r="O74" s="157"/>
    </row>
    <row r="75" spans="5:15" x14ac:dyDescent="0.25">
      <c r="E75" s="157"/>
      <c r="F75" s="157"/>
      <c r="G75" s="157"/>
      <c r="H75" s="157"/>
      <c r="I75" s="157"/>
      <c r="J75" s="157"/>
      <c r="K75" s="157"/>
      <c r="L75" s="157"/>
      <c r="M75" s="157"/>
      <c r="N75" s="157"/>
      <c r="O75" s="157"/>
    </row>
    <row r="76" spans="5:15" x14ac:dyDescent="0.25">
      <c r="E76" s="157"/>
      <c r="F76" s="157"/>
      <c r="G76" s="157"/>
      <c r="H76" s="157"/>
      <c r="I76" s="157"/>
      <c r="J76" s="157"/>
      <c r="K76" s="157"/>
      <c r="L76" s="157"/>
      <c r="M76" s="157"/>
      <c r="N76" s="157"/>
      <c r="O76" s="157"/>
    </row>
    <row r="77" spans="5:15" x14ac:dyDescent="0.25">
      <c r="E77" s="157"/>
      <c r="F77" s="157"/>
      <c r="G77" s="157"/>
      <c r="H77" s="157"/>
      <c r="I77" s="157"/>
      <c r="J77" s="157"/>
      <c r="K77" s="157"/>
      <c r="L77" s="157"/>
      <c r="M77" s="157"/>
      <c r="N77" s="157"/>
      <c r="O77" s="157"/>
    </row>
    <row r="78" spans="5:15" x14ac:dyDescent="0.25">
      <c r="E78" s="157"/>
      <c r="F78" s="157"/>
      <c r="G78" s="157"/>
      <c r="H78" s="157"/>
      <c r="I78" s="157"/>
      <c r="J78" s="157"/>
      <c r="K78" s="157"/>
      <c r="L78" s="157"/>
      <c r="M78" s="157"/>
      <c r="N78" s="157"/>
      <c r="O78" s="157"/>
    </row>
    <row r="79" spans="5:15" x14ac:dyDescent="0.25">
      <c r="E79" s="157"/>
      <c r="F79" s="157"/>
      <c r="G79" s="157"/>
      <c r="H79" s="157"/>
      <c r="I79" s="157"/>
      <c r="J79" s="157"/>
      <c r="K79" s="157"/>
      <c r="L79" s="157"/>
      <c r="M79" s="157"/>
      <c r="N79" s="157"/>
      <c r="O79" s="157"/>
    </row>
    <row r="80" spans="5:15" x14ac:dyDescent="0.25">
      <c r="E80" s="157"/>
      <c r="F80" s="157"/>
      <c r="G80" s="157"/>
      <c r="H80" s="157"/>
      <c r="I80" s="157"/>
      <c r="J80" s="157"/>
      <c r="K80" s="157"/>
      <c r="L80" s="157"/>
      <c r="M80" s="157"/>
      <c r="N80" s="157"/>
      <c r="O80" s="157"/>
    </row>
    <row r="81" spans="5:15" x14ac:dyDescent="0.25"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57"/>
    </row>
    <row r="82" spans="5:15" x14ac:dyDescent="0.25">
      <c r="E82" s="157"/>
      <c r="F82" s="157"/>
      <c r="G82" s="157"/>
      <c r="H82" s="157"/>
      <c r="I82" s="157"/>
      <c r="J82" s="157"/>
      <c r="K82" s="157"/>
      <c r="L82" s="157"/>
      <c r="M82" s="157"/>
      <c r="N82" s="157"/>
      <c r="O82" s="157"/>
    </row>
    <row r="83" spans="5:15" x14ac:dyDescent="0.25">
      <c r="E83" s="157"/>
      <c r="F83" s="157"/>
      <c r="G83" s="157"/>
      <c r="H83" s="157"/>
      <c r="I83" s="157"/>
      <c r="J83" s="157"/>
      <c r="K83" s="157"/>
      <c r="L83" s="157"/>
      <c r="M83" s="157"/>
      <c r="N83" s="157"/>
      <c r="O83" s="157"/>
    </row>
    <row r="84" spans="5:15" x14ac:dyDescent="0.25">
      <c r="E84" s="157"/>
      <c r="F84" s="157"/>
      <c r="G84" s="157"/>
      <c r="H84" s="157"/>
      <c r="I84" s="157"/>
      <c r="J84" s="157"/>
      <c r="K84" s="157"/>
      <c r="L84" s="157"/>
      <c r="M84" s="157"/>
      <c r="N84" s="157"/>
      <c r="O84" s="157"/>
    </row>
    <row r="85" spans="5:15" x14ac:dyDescent="0.25">
      <c r="E85" s="157"/>
      <c r="F85" s="157"/>
      <c r="G85" s="157"/>
      <c r="H85" s="157"/>
      <c r="I85" s="157"/>
      <c r="J85" s="157"/>
      <c r="K85" s="157"/>
      <c r="L85" s="157"/>
      <c r="M85" s="157"/>
      <c r="N85" s="157"/>
      <c r="O85" s="157"/>
    </row>
    <row r="86" spans="5:15" x14ac:dyDescent="0.25">
      <c r="E86" s="157"/>
      <c r="F86" s="157"/>
      <c r="G86" s="157"/>
      <c r="H86" s="157"/>
      <c r="I86" s="157"/>
      <c r="J86" s="157"/>
      <c r="K86" s="157"/>
      <c r="L86" s="157"/>
      <c r="M86" s="157"/>
      <c r="N86" s="157"/>
      <c r="O86" s="157"/>
    </row>
    <row r="87" spans="5:15" x14ac:dyDescent="0.25">
      <c r="E87" s="157"/>
      <c r="F87" s="157"/>
      <c r="G87" s="157"/>
      <c r="H87" s="157"/>
      <c r="I87" s="157"/>
      <c r="J87" s="157"/>
      <c r="K87" s="157"/>
      <c r="L87" s="157"/>
      <c r="M87" s="157"/>
      <c r="N87" s="157"/>
      <c r="O87" s="157"/>
    </row>
    <row r="88" spans="5:15" x14ac:dyDescent="0.25">
      <c r="E88" s="157"/>
      <c r="F88" s="157"/>
      <c r="G88" s="157"/>
      <c r="H88" s="157"/>
      <c r="I88" s="157"/>
      <c r="J88" s="157"/>
      <c r="K88" s="157"/>
      <c r="L88" s="157"/>
      <c r="M88" s="157"/>
      <c r="N88" s="157"/>
      <c r="O88" s="157"/>
    </row>
    <row r="89" spans="5:15" x14ac:dyDescent="0.25">
      <c r="E89" s="157"/>
      <c r="F89" s="157"/>
      <c r="G89" s="157"/>
      <c r="H89" s="157"/>
      <c r="I89" s="157"/>
      <c r="J89" s="157"/>
      <c r="K89" s="157"/>
      <c r="L89" s="157"/>
      <c r="M89" s="157"/>
      <c r="N89" s="157"/>
      <c r="O89" s="157"/>
    </row>
    <row r="90" spans="5:15" x14ac:dyDescent="0.25">
      <c r="E90" s="157"/>
      <c r="F90" s="157"/>
      <c r="G90" s="157"/>
      <c r="H90" s="157"/>
      <c r="I90" s="157"/>
      <c r="J90" s="157"/>
      <c r="K90" s="157"/>
      <c r="L90" s="157"/>
      <c r="M90" s="157"/>
      <c r="N90" s="157"/>
      <c r="O90" s="157"/>
    </row>
    <row r="91" spans="5:15" x14ac:dyDescent="0.25">
      <c r="E91" s="157"/>
      <c r="F91" s="157"/>
      <c r="G91" s="157"/>
      <c r="H91" s="157"/>
      <c r="I91" s="157"/>
      <c r="J91" s="157"/>
      <c r="K91" s="157"/>
      <c r="L91" s="157"/>
      <c r="M91" s="157"/>
      <c r="N91" s="157"/>
      <c r="O91" s="157"/>
    </row>
  </sheetData>
  <mergeCells count="1">
    <mergeCell ref="E1:O1"/>
  </mergeCells>
  <phoneticPr fontId="11" type="noConversion"/>
  <pageMargins left="0.7" right="0.7" top="0.75" bottom="0.75" header="0.3" footer="0.3"/>
  <pageSetup paperSize="8" orientation="portrait" horizont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41</vt:i4>
      </vt:variant>
    </vt:vector>
  </HeadingPairs>
  <TitlesOfParts>
    <vt:vector size="46" baseType="lpstr">
      <vt:lpstr>BOQ</vt:lpstr>
      <vt:lpstr>BOQ (Int)</vt:lpstr>
      <vt:lpstr>Summary</vt:lpstr>
      <vt:lpstr>SRES Costs</vt:lpstr>
      <vt:lpstr>Flat Roofing</vt:lpstr>
      <vt:lpstr>'BOQ (Int)'!boqFifthFloor</vt:lpstr>
      <vt:lpstr>'BOQ (Int)'!boqFirstFloor</vt:lpstr>
      <vt:lpstr>boqFirstFloor</vt:lpstr>
      <vt:lpstr>'BOQ (Int)'!boqForthFloor</vt:lpstr>
      <vt:lpstr>'BOQ (Int)'!boqMainRoof</vt:lpstr>
      <vt:lpstr>'BOQ (Int)'!boqMezzanine</vt:lpstr>
      <vt:lpstr>boqMezzanine</vt:lpstr>
      <vt:lpstr>'BOQ (Int)'!boqSecondFloor</vt:lpstr>
      <vt:lpstr>'BOQ (Int)'!boqSeventhFloor</vt:lpstr>
      <vt:lpstr>'BOQ (Int)'!boqSixthFloor</vt:lpstr>
      <vt:lpstr>boqTextInsulationTapered</vt:lpstr>
      <vt:lpstr>boqTextInsulationUpstand</vt:lpstr>
      <vt:lpstr>boqTextWaterproofingCold</vt:lpstr>
      <vt:lpstr>boqTextWaterproofingUpstand</vt:lpstr>
      <vt:lpstr>boqTextWaterproofingWarm</vt:lpstr>
      <vt:lpstr>'BOQ (Int)'!boqThirdFloor</vt:lpstr>
      <vt:lpstr>FlatSystemNAme</vt:lpstr>
      <vt:lpstr>BOQ!Print_Area</vt:lpstr>
      <vt:lpstr>'BOQ (Int)'!Print_Area</vt:lpstr>
      <vt:lpstr>BOQ!Print_Titles</vt:lpstr>
      <vt:lpstr>'BOQ (Int)'!Print_Titles</vt:lpstr>
      <vt:lpstr>RateDripstandLinTotalLab</vt:lpstr>
      <vt:lpstr>RateDripstandLinTotalMat</vt:lpstr>
      <vt:lpstr>RateInsulationTaperedLab</vt:lpstr>
      <vt:lpstr>RateInsulationTaperedMat</vt:lpstr>
      <vt:lpstr>RateInsulationUpstandBoardLab</vt:lpstr>
      <vt:lpstr>RateInsulationUpstandBoardMat</vt:lpstr>
      <vt:lpstr>RateSiteDripEdge</vt:lpstr>
      <vt:lpstr>RateSiteMainAreaInsulation</vt:lpstr>
      <vt:lpstr>RateSiteMainAreaWaterproofing</vt:lpstr>
      <vt:lpstr>RateSiteMainUpstandToParapetInsulation</vt:lpstr>
      <vt:lpstr>RateSiteMainUpstandToParapetWaterproofing</vt:lpstr>
      <vt:lpstr>RateSiteMainUpstandToWallsInsulation</vt:lpstr>
      <vt:lpstr>RateSiteMainUpstandToWallsWaterproofing</vt:lpstr>
      <vt:lpstr>RateUpstandLab</vt:lpstr>
      <vt:lpstr>RateUpstandMat</vt:lpstr>
      <vt:lpstr>RateWaterproofingcoldLab</vt:lpstr>
      <vt:lpstr>RateWaterproofingColdMat</vt:lpstr>
      <vt:lpstr>RateWaterproofingWarmLab</vt:lpstr>
      <vt:lpstr>RateWaterproofingWarmMat</vt:lpstr>
      <vt:lpstr>SiteSummaryMargin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sres</dc:creator>
  <cp:lastModifiedBy>Andrew Frayling</cp:lastModifiedBy>
  <cp:lastPrinted>2022-10-06T08:08:43Z</cp:lastPrinted>
  <dcterms:created xsi:type="dcterms:W3CDTF">2017-02-20T09:43:48Z</dcterms:created>
  <dcterms:modified xsi:type="dcterms:W3CDTF">2023-03-01T13:14:19Z</dcterms:modified>
</cp:coreProperties>
</file>